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N:\sdforms\FY 2025\"/>
    </mc:Choice>
  </mc:AlternateContent>
  <xr:revisionPtr revIDLastSave="0" documentId="8_{FDA6F6AB-5702-449D-A8AF-FC9A77ACF88B}" xr6:coauthVersionLast="36" xr6:coauthVersionMax="36" xr10:uidLastSave="{00000000-0000-0000-0000-000000000000}"/>
  <workbookProtection workbookAlgorithmName="SHA-512" workbookHashValue="A3vckreOAsZlkUWIWqkBqQMEMYXN5QuXKjjDP0JmpEcFIJC+/kvssQLPpTniAL1t688dzod1DlKdy9xXar9Aew==" workbookSaltValue="Z8BoEgFQXkhK53hoEyn8XA==" workbookSpinCount="100000" lockStructure="1"/>
  <bookViews>
    <workbookView xWindow="-19005" yWindow="-17385" windowWidth="30930" windowHeight="16770" xr2:uid="{00000000-000D-0000-FFFF-FFFF00000000}"/>
  </bookViews>
  <sheets>
    <sheet name="Notice" sheetId="2" r:id="rId1"/>
  </sheets>
  <externalReferences>
    <externalReference r:id="rId2"/>
  </externalReferences>
  <definedNames>
    <definedName name="BudgetYearADM">Notice!$H$13</definedName>
    <definedName name="CSFBLBudgFY">#REF!</definedName>
    <definedName name="EstTaxRateBudgFY">#REF!</definedName>
    <definedName name="F001P100F1000O6100">#REF!</definedName>
    <definedName name="F001P100F1000O6200">#REF!</definedName>
    <definedName name="F001P100F1000O630064006500">#REF!</definedName>
    <definedName name="F001P100F1000O6600">#REF!</definedName>
    <definedName name="F001P100F1000O6800">#REF!</definedName>
    <definedName name="F001P100F2100O6100">#REF!</definedName>
    <definedName name="F001P100F2100O6200">#REF!</definedName>
    <definedName name="F001P100F2100O630064006500">#REF!</definedName>
    <definedName name="F001P100F2100O6600">#REF!</definedName>
    <definedName name="F001P100F2100O6800">#REF!</definedName>
    <definedName name="F001P100F2200O6100">#REF!</definedName>
    <definedName name="F001P100F2200O6200">#REF!</definedName>
    <definedName name="F001P100F2200O630064006500">#REF!</definedName>
    <definedName name="F001P100F2200O6600">#REF!</definedName>
    <definedName name="F001P100F2200O6800">#REF!</definedName>
    <definedName name="F001P100F2300O6100">#REF!</definedName>
    <definedName name="F001P100F2300O6200">#REF!</definedName>
    <definedName name="F001P100F2300O630064006500">#REF!</definedName>
    <definedName name="F001P100F2300O6600">#REF!</definedName>
    <definedName name="F001P100F2300O6800">#REF!</definedName>
    <definedName name="F001P100F2400O6100">#REF!</definedName>
    <definedName name="F001P100F2400O6200">#REF!</definedName>
    <definedName name="F001P100F2400O630064006500">#REF!</definedName>
    <definedName name="F001P100F2400O6600">#REF!</definedName>
    <definedName name="F001P100F2400O6800">#REF!</definedName>
    <definedName name="F001P100F2500O6100">#REF!</definedName>
    <definedName name="F001P100F2500O6200">#REF!</definedName>
    <definedName name="F001P100F2500O630064006500">#REF!</definedName>
    <definedName name="F001P100F2500O6600">#REF!</definedName>
    <definedName name="F001P100F2500O6800">#REF!</definedName>
    <definedName name="F001P100F2600O6100">#REF!</definedName>
    <definedName name="F001P100F2600O6200">#REF!</definedName>
    <definedName name="F001P100F2600O630064006500">#REF!</definedName>
    <definedName name="F001P100F2600O6600">#REF!</definedName>
    <definedName name="F001P100F2600O6800">#REF!</definedName>
    <definedName name="F001P100F2900O6100">#REF!</definedName>
    <definedName name="F001P100F2900O6200">#REF!</definedName>
    <definedName name="F001P100F2900O630064006500">#REF!</definedName>
    <definedName name="F001P100F2900O6600">#REF!</definedName>
    <definedName name="F001P100F2900O6800">#REF!</definedName>
    <definedName name="F001P100F3000O6100">#REF!</definedName>
    <definedName name="F001P100F3000O6200">#REF!</definedName>
    <definedName name="F001P100F3000O630064006500">#REF!</definedName>
    <definedName name="F001P100F3000O6600">#REF!</definedName>
    <definedName name="F001P100F3000O6800">#REF!</definedName>
    <definedName name="F001P200F1000O6100">#REF!</definedName>
    <definedName name="F001P200F1000O6200">#REF!</definedName>
    <definedName name="F001P200F1000O630064006500">#REF!</definedName>
    <definedName name="F001P200F1000O6600">#REF!</definedName>
    <definedName name="F001P200F1000O6800">#REF!</definedName>
    <definedName name="F001P200F2100O6100">#REF!</definedName>
    <definedName name="F001P200F2100O6200">#REF!</definedName>
    <definedName name="F001P200F2100O630064006500">#REF!</definedName>
    <definedName name="F001P200F2100O6600">#REF!</definedName>
    <definedName name="F001P200F2100O6800">#REF!</definedName>
    <definedName name="F001P200F2200O6100">#REF!</definedName>
    <definedName name="F001P200F2200O6200">#REF!</definedName>
    <definedName name="F001P200F2200O630064006500">#REF!</definedName>
    <definedName name="F001P200F2200O6600">#REF!</definedName>
    <definedName name="F001P200F2200O6800">#REF!</definedName>
    <definedName name="F001P200F2300O6100">#REF!</definedName>
    <definedName name="F001P200F2300O6200">#REF!</definedName>
    <definedName name="F001P200F2300O630064006500">#REF!</definedName>
    <definedName name="F001P200F2300O6600">#REF!</definedName>
    <definedName name="F001P200F2300O6800">#REF!</definedName>
    <definedName name="F001P200F2400O6100">#REF!</definedName>
    <definedName name="F001P200F2400O6200">#REF!</definedName>
    <definedName name="F001P200F2400O630064006500">#REF!</definedName>
    <definedName name="F001P200F2400O6600">#REF!</definedName>
    <definedName name="F001P200F2400O6800">#REF!</definedName>
    <definedName name="F001P200F2500O6100">#REF!</definedName>
    <definedName name="F001P200F2500O6200">#REF!</definedName>
    <definedName name="F001P200F2500O630064006500">#REF!</definedName>
    <definedName name="F001P200F2500O6600">#REF!</definedName>
    <definedName name="F001P200F2500O6800">#REF!</definedName>
    <definedName name="F001P200F2600O6100">#REF!</definedName>
    <definedName name="F001P200F2600O6200">#REF!</definedName>
    <definedName name="F001P200F2600O630064006500">#REF!</definedName>
    <definedName name="F001P200F2600O6600">#REF!</definedName>
    <definedName name="F001P200F2600O6800">#REF!</definedName>
    <definedName name="F001P200F2900O6100">#REF!</definedName>
    <definedName name="F001P200F2900O6200">#REF!</definedName>
    <definedName name="F001P200F2900O630064006500">#REF!</definedName>
    <definedName name="F001P200F2900O6600">#REF!</definedName>
    <definedName name="F001P200F2900O6800">#REF!</definedName>
    <definedName name="F001P200F3000O6100">#REF!</definedName>
    <definedName name="F001P200F3000O6200">#REF!</definedName>
    <definedName name="F001P200F3000O630064006500">#REF!</definedName>
    <definedName name="F001P200F3000O6600">#REF!</definedName>
    <definedName name="F001P200F3000O6800">#REF!</definedName>
    <definedName name="F001P200PYDisabilityTot">#REF!</definedName>
    <definedName name="F001P200Subtotal">#REF!</definedName>
    <definedName name="F001P200TotBudgFY">#REF!</definedName>
    <definedName name="F001P400O6100">#REF!</definedName>
    <definedName name="F001P400O6200">#REF!</definedName>
    <definedName name="F001P400O630064006500">#REF!</definedName>
    <definedName name="F001P400O6600">#REF!</definedName>
    <definedName name="F001P400O6800">#REF!</definedName>
    <definedName name="F001P510O6100">#REF!</definedName>
    <definedName name="F001P510O6200">#REF!</definedName>
    <definedName name="F001P510O630064006500">#REF!</definedName>
    <definedName name="F001P510O6600">#REF!</definedName>
    <definedName name="F001P510O6800">#REF!</definedName>
    <definedName name="F001P530O6100">#REF!</definedName>
    <definedName name="F001P530O6200">#REF!</definedName>
    <definedName name="F001P530O630064006500">#REF!</definedName>
    <definedName name="F001P530O6600">#REF!</definedName>
    <definedName name="F001P530O6800">#REF!</definedName>
    <definedName name="F001P540O6100">#REF!</definedName>
    <definedName name="F001P540O6200">#REF!</definedName>
    <definedName name="F001P540O630064006500">#REF!</definedName>
    <definedName name="F001P540O6600">#REF!</definedName>
    <definedName name="F001P540O6800">#REF!</definedName>
    <definedName name="F001P550O6100">#REF!</definedName>
    <definedName name="F001P550O6200">#REF!</definedName>
    <definedName name="F001P550O630064006500">#REF!</definedName>
    <definedName name="F001P550O6600">#REF!</definedName>
    <definedName name="F001P550O6800">#REF!</definedName>
    <definedName name="F001P610O6100">#REF!</definedName>
    <definedName name="F001P610O6200">#REF!</definedName>
    <definedName name="F001P610O630064006500">#REF!</definedName>
    <definedName name="F001P610O6600">#REF!</definedName>
    <definedName name="F001P610O6800">#REF!</definedName>
    <definedName name="F001P620O6100">#REF!</definedName>
    <definedName name="F001P620O6200">#REF!</definedName>
    <definedName name="F001P620O630064006500">#REF!</definedName>
    <definedName name="F001P620O6600">#REF!</definedName>
    <definedName name="F001P620O6800">#REF!</definedName>
    <definedName name="F001P630O6100">#REF!</definedName>
    <definedName name="F001P630O6200">#REF!</definedName>
    <definedName name="F001P630O630064006500">#REF!</definedName>
    <definedName name="F001P630O6600">#REF!</definedName>
    <definedName name="F001P630O6800">#REF!</definedName>
    <definedName name="F001P700800900O6100">#REF!</definedName>
    <definedName name="F001P700800900O6200">#REF!</definedName>
    <definedName name="F001P700800900O630064006500">#REF!</definedName>
    <definedName name="F001P700800900O6600">#REF!</definedName>
    <definedName name="F001P700800900O6800">#REF!</definedName>
    <definedName name="F001TotalExp">#REF!</definedName>
    <definedName name="F001TotExpCurrFY">#REF!</definedName>
    <definedName name="F010O6590BudgFY">#REF!</definedName>
    <definedName name="F020TotBudgFY">#REF!</definedName>
    <definedName name="F020TotCurrFY">#REF!</definedName>
    <definedName name="F071BudgFY">#REF!</definedName>
    <definedName name="F071CurrFY">#REF!</definedName>
    <definedName name="F072BudgFY">#REF!</definedName>
    <definedName name="F072CurrFY">#REF!</definedName>
    <definedName name="F500BudgFY">#REF!</definedName>
    <definedName name="F500CurrFY">#REF!</definedName>
    <definedName name="F510BudgFY">#REF!</definedName>
    <definedName name="F510CurrFY">#REF!</definedName>
    <definedName name="F525BudgFY">#REF!</definedName>
    <definedName name="F525CurrFY">#REF!</definedName>
    <definedName name="F610TotalBudgFY">#REF!</definedName>
    <definedName name="F610TotalCurrFY">#REF!</definedName>
    <definedName name="F620TotalBudgFY">#REF!</definedName>
    <definedName name="F620TotalCurrFY">#REF!</definedName>
    <definedName name="F630TotalBudgFY">#REF!</definedName>
    <definedName name="F630TotalCurrFY">#REF!</definedName>
    <definedName name="F695TotalBudgFY">#REF!</definedName>
    <definedName name="F695TotalCurrFY">#REF!</definedName>
    <definedName name="F700BudgFY">#REF!</definedName>
    <definedName name="F700CurrFY">#REF!</definedName>
    <definedName name="GBLBudgFY">#REF!</definedName>
    <definedName name="JTEDBudgFY">#REF!</definedName>
    <definedName name="PrimTaxRateCurrFY">#REF!</definedName>
    <definedName name="_xlnm.Print_Area" localSheetId="0">Notice!$A$1:$L$134</definedName>
    <definedName name="PriorYearADM">Notice!$C$13</definedName>
    <definedName name="SPEDCareerEdBudgFY">#REF!</definedName>
    <definedName name="SPEDCareerEdCurrFY">#REF!</definedName>
    <definedName name="SPEDELLCompInstrBudgFY">#REF!</definedName>
    <definedName name="SPEDELLCompInstrCurrFY">#REF!</definedName>
    <definedName name="SPEDELLIncCostBudgFY">#REF!</definedName>
    <definedName name="SPEDELLIncCostCurrFY">#REF!</definedName>
    <definedName name="SPEDGiftedEdBudgFY">#REF!</definedName>
    <definedName name="SPEDGiftedEdCurrFY">#REF!</definedName>
    <definedName name="SPEDRemedialEdBudgFY">#REF!</definedName>
    <definedName name="SPEDRemedialEdCurrFY">#REF!</definedName>
    <definedName name="SPEDStaff">Notice!$N$46</definedName>
    <definedName name="SPEDTeacher">Notice!$N$45</definedName>
    <definedName name="SPEDVocTechEdBudgFY">#REF!</definedName>
    <definedName name="SPEDVocTechEdCurrFY">#REF!</definedName>
    <definedName name="TotClassSiteFundExpBudgFY">#REF!</definedName>
    <definedName name="TotClassSiteFundExpCurrFY">#REF!</definedName>
    <definedName name="TotFedProjFundBudgFY">#REF!</definedName>
    <definedName name="TotFedProjFundCurrFY">#REF!</definedName>
    <definedName name="TotSecTaxRateBudgFY">#REF!</definedName>
    <definedName name="TotSecTaxRateCurrFY">#REF!</definedName>
    <definedName name="TotStateProjFundBudgFY">#REF!</definedName>
    <definedName name="TotStateProjFundCurrFY">#REF!</definedName>
    <definedName name="UCBLBudgFY">#REF!</definedName>
  </definedNames>
  <calcPr calcId="191029"/>
</workbook>
</file>

<file path=xl/calcChain.xml><?xml version="1.0" encoding="utf-8"?>
<calcChain xmlns="http://schemas.openxmlformats.org/spreadsheetml/2006/main">
  <c r="I134" i="2" l="1"/>
  <c r="F134" i="2"/>
  <c r="E134" i="2"/>
  <c r="D134" i="2"/>
  <c r="I133" i="2"/>
  <c r="F133" i="2"/>
  <c r="E133" i="2"/>
  <c r="D133" i="2"/>
  <c r="I130" i="2"/>
  <c r="F130" i="2"/>
  <c r="E130" i="2"/>
  <c r="D130" i="2"/>
  <c r="I129" i="2"/>
  <c r="F129" i="2"/>
  <c r="E129" i="2"/>
  <c r="D129" i="2"/>
  <c r="I128" i="2"/>
  <c r="F128" i="2"/>
  <c r="E128" i="2"/>
  <c r="D128" i="2"/>
  <c r="I127" i="2"/>
  <c r="F127" i="2"/>
  <c r="E127" i="2"/>
  <c r="D127" i="2"/>
  <c r="I126" i="2"/>
  <c r="F126" i="2"/>
  <c r="E126" i="2"/>
  <c r="D126" i="2"/>
  <c r="I124" i="2"/>
  <c r="F124" i="2"/>
  <c r="E124" i="2"/>
  <c r="D124" i="2"/>
  <c r="I123" i="2"/>
  <c r="F123" i="2"/>
  <c r="E123" i="2"/>
  <c r="D123" i="2"/>
  <c r="I122" i="2"/>
  <c r="F122" i="2"/>
  <c r="E122" i="2"/>
  <c r="D122" i="2"/>
  <c r="I121" i="2"/>
  <c r="F121" i="2"/>
  <c r="E121" i="2"/>
  <c r="D121" i="2"/>
  <c r="E116" i="2"/>
  <c r="D116" i="2"/>
  <c r="E115" i="2"/>
  <c r="D115" i="2"/>
  <c r="E114" i="2"/>
  <c r="D114" i="2"/>
  <c r="E113" i="2"/>
  <c r="D113" i="2"/>
  <c r="E112" i="2"/>
  <c r="D112" i="2"/>
  <c r="E111" i="2"/>
  <c r="D111" i="2"/>
  <c r="E110" i="2"/>
  <c r="D110" i="2"/>
  <c r="E109" i="2"/>
  <c r="D109" i="2"/>
  <c r="E108" i="2"/>
  <c r="D108" i="2"/>
  <c r="D104" i="2"/>
  <c r="C104" i="2"/>
  <c r="D103" i="2"/>
  <c r="C103" i="2"/>
  <c r="D102" i="2"/>
  <c r="C102" i="2"/>
  <c r="D101" i="2"/>
  <c r="C101" i="2"/>
  <c r="D100" i="2"/>
  <c r="C100" i="2"/>
  <c r="D99" i="2"/>
  <c r="C99" i="2"/>
  <c r="D98" i="2"/>
  <c r="C98" i="2"/>
  <c r="F98" i="2" s="1"/>
  <c r="D97" i="2"/>
  <c r="C97" i="2"/>
  <c r="D96" i="2"/>
  <c r="E96" i="2" s="1"/>
  <c r="C96" i="2"/>
  <c r="D95" i="2"/>
  <c r="C95" i="2"/>
  <c r="D94" i="2"/>
  <c r="C94" i="2"/>
  <c r="D93" i="2"/>
  <c r="C93" i="2"/>
  <c r="D92" i="2"/>
  <c r="C92" i="2"/>
  <c r="F92" i="2" s="1"/>
  <c r="D91" i="2"/>
  <c r="C91" i="2"/>
  <c r="D90" i="2"/>
  <c r="C90" i="2"/>
  <c r="F90" i="2" s="1"/>
  <c r="D89" i="2"/>
  <c r="C89" i="2"/>
  <c r="H80" i="2"/>
  <c r="F80" i="2"/>
  <c r="E80" i="2"/>
  <c r="D80" i="2"/>
  <c r="H78" i="2"/>
  <c r="F78" i="2"/>
  <c r="E78" i="2"/>
  <c r="D78" i="2"/>
  <c r="H77" i="2"/>
  <c r="F77" i="2"/>
  <c r="E77" i="2"/>
  <c r="J77" i="2" s="1"/>
  <c r="D77" i="2"/>
  <c r="H76" i="2"/>
  <c r="F76" i="2"/>
  <c r="E76" i="2"/>
  <c r="J76" i="2" s="1"/>
  <c r="D76" i="2"/>
  <c r="I76" i="2" s="1"/>
  <c r="K76" i="2" s="1"/>
  <c r="H75" i="2"/>
  <c r="F75" i="2"/>
  <c r="I75" i="2" s="1"/>
  <c r="E75" i="2"/>
  <c r="D75" i="2"/>
  <c r="H73" i="2"/>
  <c r="F73" i="2"/>
  <c r="E73" i="2"/>
  <c r="D73" i="2"/>
  <c r="H72" i="2"/>
  <c r="F72" i="2"/>
  <c r="E72" i="2"/>
  <c r="D72" i="2"/>
  <c r="H71" i="2"/>
  <c r="F71" i="2"/>
  <c r="E71" i="2"/>
  <c r="D71" i="2"/>
  <c r="H70" i="2"/>
  <c r="F70" i="2"/>
  <c r="E70" i="2"/>
  <c r="D70" i="2"/>
  <c r="H69" i="2"/>
  <c r="F69" i="2"/>
  <c r="E69" i="2"/>
  <c r="J69" i="2" s="1"/>
  <c r="D69" i="2"/>
  <c r="H67" i="2"/>
  <c r="F67" i="2"/>
  <c r="E67" i="2"/>
  <c r="J67" i="2" s="1"/>
  <c r="D67" i="2"/>
  <c r="I67" i="2" s="1"/>
  <c r="H65" i="2"/>
  <c r="F65" i="2"/>
  <c r="E65" i="2"/>
  <c r="D65" i="2"/>
  <c r="I65" i="2" s="1"/>
  <c r="H63" i="2"/>
  <c r="F63" i="2"/>
  <c r="E63" i="2"/>
  <c r="D63" i="2"/>
  <c r="H62" i="2"/>
  <c r="F62" i="2"/>
  <c r="E62" i="2"/>
  <c r="D62" i="2"/>
  <c r="H61" i="2"/>
  <c r="F61" i="2"/>
  <c r="E61" i="2"/>
  <c r="D61" i="2"/>
  <c r="H60" i="2"/>
  <c r="F60" i="2"/>
  <c r="E60" i="2"/>
  <c r="D60" i="2"/>
  <c r="H59" i="2"/>
  <c r="F59" i="2"/>
  <c r="E59" i="2"/>
  <c r="J59" i="2" s="1"/>
  <c r="D59" i="2"/>
  <c r="H58" i="2"/>
  <c r="F58" i="2"/>
  <c r="E58" i="2"/>
  <c r="J58" i="2" s="1"/>
  <c r="D58" i="2"/>
  <c r="H57" i="2"/>
  <c r="J57" i="2" s="1"/>
  <c r="F57" i="2"/>
  <c r="E57" i="2"/>
  <c r="D57" i="2"/>
  <c r="I57" i="2" s="1"/>
  <c r="H56" i="2"/>
  <c r="F56" i="2"/>
  <c r="E56" i="2"/>
  <c r="D56" i="2"/>
  <c r="H54" i="2"/>
  <c r="F54" i="2"/>
  <c r="E54" i="2"/>
  <c r="D54" i="2"/>
  <c r="H52" i="2"/>
  <c r="F52" i="2"/>
  <c r="E52" i="2"/>
  <c r="D52" i="2"/>
  <c r="E44" i="2"/>
  <c r="D44" i="2"/>
  <c r="E43" i="2"/>
  <c r="D43" i="2"/>
  <c r="E42" i="2"/>
  <c r="D42" i="2"/>
  <c r="E37" i="2"/>
  <c r="D37" i="2"/>
  <c r="F35" i="2"/>
  <c r="E34" i="2"/>
  <c r="D34" i="2"/>
  <c r="K33" i="2"/>
  <c r="K32" i="2"/>
  <c r="E32" i="2"/>
  <c r="D32" i="2"/>
  <c r="C32" i="2"/>
  <c r="K31" i="2"/>
  <c r="K30" i="2"/>
  <c r="K22" i="2"/>
  <c r="A24" i="2" s="1"/>
  <c r="K21" i="2"/>
  <c r="C1" i="2"/>
  <c r="E92" i="2" l="1"/>
  <c r="I58" i="2"/>
  <c r="K58" i="2" s="1"/>
  <c r="F97" i="2"/>
  <c r="E100" i="2"/>
  <c r="F100" i="2" s="1"/>
  <c r="H64" i="2"/>
  <c r="E74" i="2"/>
  <c r="J80" i="2"/>
  <c r="E90" i="2"/>
  <c r="E93" i="2"/>
  <c r="F93" i="2" s="1"/>
  <c r="F96" i="2"/>
  <c r="F74" i="2"/>
  <c r="I59" i="2"/>
  <c r="K59" i="2" s="1"/>
  <c r="H74" i="2"/>
  <c r="I69" i="2"/>
  <c r="K69" i="2" s="1"/>
  <c r="J78" i="2"/>
  <c r="E94" i="2"/>
  <c r="F94" i="2" s="1"/>
  <c r="E102" i="2"/>
  <c r="F102" i="2" s="1"/>
  <c r="I54" i="2"/>
  <c r="I60" i="2"/>
  <c r="I62" i="2"/>
  <c r="D74" i="2"/>
  <c r="I72" i="2"/>
  <c r="E91" i="2"/>
  <c r="E99" i="2"/>
  <c r="F99" i="2" s="1"/>
  <c r="E104" i="2"/>
  <c r="F104" i="2" s="1"/>
  <c r="J54" i="2"/>
  <c r="J60" i="2"/>
  <c r="J62" i="2"/>
  <c r="J70" i="2"/>
  <c r="J72" i="2"/>
  <c r="I78" i="2"/>
  <c r="K78" i="2" s="1"/>
  <c r="I52" i="2"/>
  <c r="I61" i="2"/>
  <c r="I63" i="2"/>
  <c r="I71" i="2"/>
  <c r="K71" i="2" s="1"/>
  <c r="I73" i="2"/>
  <c r="K73" i="2" s="1"/>
  <c r="J75" i="2"/>
  <c r="K75" i="2" s="1"/>
  <c r="I77" i="2"/>
  <c r="K77" i="2" s="1"/>
  <c r="E95" i="2"/>
  <c r="E103" i="2"/>
  <c r="F103" i="2" s="1"/>
  <c r="E64" i="2"/>
  <c r="E81" i="2" s="1"/>
  <c r="J56" i="2"/>
  <c r="J61" i="2"/>
  <c r="J63" i="2"/>
  <c r="J71" i="2"/>
  <c r="J73" i="2"/>
  <c r="I80" i="2"/>
  <c r="K80" i="2" s="1"/>
  <c r="E98" i="2"/>
  <c r="A3" i="2"/>
  <c r="F64" i="2"/>
  <c r="F81" i="2" s="1"/>
  <c r="A21" i="2"/>
  <c r="K57" i="2"/>
  <c r="I56" i="2"/>
  <c r="K56" i="2" s="1"/>
  <c r="F91" i="2"/>
  <c r="D24" i="2"/>
  <c r="J52" i="2"/>
  <c r="J65" i="2"/>
  <c r="K67" i="2"/>
  <c r="F95" i="2"/>
  <c r="D64" i="2"/>
  <c r="D81" i="2" s="1"/>
  <c r="I70" i="2"/>
  <c r="K70" i="2" s="1"/>
  <c r="E89" i="2"/>
  <c r="F89" i="2" s="1"/>
  <c r="E97" i="2"/>
  <c r="E101" i="2"/>
  <c r="F101" i="2" s="1"/>
  <c r="J64" i="2" l="1"/>
  <c r="J81" i="2" s="1"/>
  <c r="K61" i="2"/>
  <c r="H81" i="2"/>
  <c r="K72" i="2"/>
  <c r="J74" i="2"/>
  <c r="K60" i="2"/>
  <c r="K62" i="2"/>
  <c r="K63" i="2"/>
  <c r="K54" i="2"/>
  <c r="K65" i="2"/>
  <c r="I64" i="2"/>
  <c r="K52" i="2"/>
  <c r="I74" i="2"/>
  <c r="K74" i="2" l="1"/>
  <c r="I81" i="2"/>
  <c r="K81" i="2" s="1"/>
  <c r="K64" i="2"/>
</calcChain>
</file>

<file path=xl/sharedStrings.xml><?xml version="1.0" encoding="utf-8"?>
<sst xmlns="http://schemas.openxmlformats.org/spreadsheetml/2006/main" count="187" uniqueCount="150">
  <si>
    <t>AZ</t>
  </si>
  <si>
    <t>A copy of the agenda of the matters to be discussed or decided at the meeting may be obtained by contacting:</t>
  </si>
  <si>
    <t>Meeting Date:</t>
  </si>
  <si>
    <t>Time:</t>
  </si>
  <si>
    <t>Street Address:</t>
  </si>
  <si>
    <t>Bldg:</t>
  </si>
  <si>
    <t>City:</t>
  </si>
  <si>
    <t>Rm/Ste:</t>
  </si>
  <si>
    <t>State:</t>
  </si>
  <si>
    <t>Zip:</t>
  </si>
  <si>
    <t>Contact Name:</t>
  </si>
  <si>
    <t>Email Address:</t>
  </si>
  <si>
    <t>Phone:</t>
  </si>
  <si>
    <t>Phone Ext:</t>
  </si>
  <si>
    <t>Comments:</t>
  </si>
  <si>
    <t>Location:</t>
  </si>
  <si>
    <t>CTDS:</t>
  </si>
  <si>
    <t>District:</t>
  </si>
  <si>
    <t>The information above is posted on ADE's Web site pursuant to A.R.S. §15-905(C) and is not intended to satisfy Open Meeting Law requirements under A.R.S. §38-431.02 et seq.</t>
  </si>
  <si>
    <t>CTDS NUMBER</t>
  </si>
  <si>
    <t>VERSION</t>
  </si>
  <si>
    <t>I certify that the Budget of</t>
  </si>
  <si>
    <t xml:space="preserve">District, </t>
  </si>
  <si>
    <t>revised by the Governing Board on</t>
  </si>
  <si>
    <t>during normal business hours.</t>
  </si>
  <si>
    <t>President of the Governing Board</t>
  </si>
  <si>
    <t>1.  Average Daily Membership:</t>
  </si>
  <si>
    <t>2.  Tax Rates:</t>
  </si>
  <si>
    <t>Prior Yr.</t>
  </si>
  <si>
    <t>Budget Yr.</t>
  </si>
  <si>
    <t>Attending</t>
  </si>
  <si>
    <t>Budget FY</t>
  </si>
  <si>
    <t>MAINTENANCE AND OPERATION EXPENDITURES</t>
  </si>
  <si>
    <t xml:space="preserve"> </t>
  </si>
  <si>
    <t>% Inc./(Decr.)</t>
  </si>
  <si>
    <t>Salaries and Benefits</t>
  </si>
  <si>
    <t>Other</t>
  </si>
  <si>
    <t>TOTAL</t>
  </si>
  <si>
    <t>from</t>
  </si>
  <si>
    <t>Prior FY</t>
  </si>
  <si>
    <t>100 Regular Education</t>
  </si>
  <si>
    <t xml:space="preserve">   1000 Instruction</t>
  </si>
  <si>
    <t xml:space="preserve">   2000 Support Services</t>
  </si>
  <si>
    <t xml:space="preserve">      2100 Students</t>
  </si>
  <si>
    <t xml:space="preserve">      2200 Instructional Staff</t>
  </si>
  <si>
    <t xml:space="preserve">      2300, 2400, 2500 Administration</t>
  </si>
  <si>
    <t xml:space="preserve">      2600 Oper./Maint. of Plant</t>
  </si>
  <si>
    <t xml:space="preserve">      2900 Other </t>
  </si>
  <si>
    <t xml:space="preserve">   3000 Oper. of Noninstructional Services</t>
  </si>
  <si>
    <t>610 School-Sponsored Cocurric. Activities</t>
  </si>
  <si>
    <t>620 School-Sponsored Athletics</t>
  </si>
  <si>
    <t>630, 700, 800, 900 Other Programs</t>
  </si>
  <si>
    <t xml:space="preserve">   Regular Education Subsection Subtotal </t>
  </si>
  <si>
    <t>200 and 300 Special Education</t>
  </si>
  <si>
    <t xml:space="preserve">   Special Education Subsection Subtotal </t>
  </si>
  <si>
    <t>400 Pupil Transportation</t>
  </si>
  <si>
    <t>510 Desegregation</t>
  </si>
  <si>
    <t>530 Dropout Prevention Programs</t>
  </si>
  <si>
    <t>540 Joint Career and Technical Education</t>
  </si>
  <si>
    <t xml:space="preserve">       and Vocational Education Center</t>
  </si>
  <si>
    <t>550 K-3 Reading Program</t>
  </si>
  <si>
    <t xml:space="preserve">   TOTAL EXPENDITURES</t>
  </si>
  <si>
    <t>TOTAL EXPENDITURES BY FUND</t>
  </si>
  <si>
    <t>$ Increase/</t>
  </si>
  <si>
    <t>% Increase/</t>
  </si>
  <si>
    <t>Budgeted Expenditures</t>
  </si>
  <si>
    <t>(Decrease)</t>
  </si>
  <si>
    <t>Fund</t>
  </si>
  <si>
    <t xml:space="preserve"> Prior FY</t>
  </si>
  <si>
    <t>Maintenance &amp; Operation</t>
  </si>
  <si>
    <t>Instructional Improvement</t>
  </si>
  <si>
    <t>Compensatory Instruction</t>
  </si>
  <si>
    <t>Classroom Site</t>
  </si>
  <si>
    <t>Federal Projects</t>
  </si>
  <si>
    <t>State Projects</t>
  </si>
  <si>
    <t>Unrestricted Capital Outlay</t>
  </si>
  <si>
    <t>New School Facilities</t>
  </si>
  <si>
    <t>Adjacent Ways</t>
  </si>
  <si>
    <t>Debt Service</t>
  </si>
  <si>
    <t>School Plant Fund</t>
  </si>
  <si>
    <t>Auxiliary Operations</t>
  </si>
  <si>
    <t>Bond Building</t>
  </si>
  <si>
    <t>Food Service</t>
  </si>
  <si>
    <t>M&amp;O FUND SPECIAL EDUCATION PROGRAMS BY TYPE</t>
  </si>
  <si>
    <t>PROPOSED STAFFING SUMMARY</t>
  </si>
  <si>
    <r>
      <t>Program (A.R.S. §§15-761</t>
    </r>
    <r>
      <rPr>
        <b/>
        <sz val="8"/>
        <rFont val="Times New Roman"/>
        <family val="1"/>
      </rPr>
      <t xml:space="preserve"> and 15-903)</t>
    </r>
  </si>
  <si>
    <t>Total All Disability Classifications</t>
  </si>
  <si>
    <t>Staff Type</t>
  </si>
  <si>
    <t>Gifted Education</t>
  </si>
  <si>
    <t>Certified --</t>
  </si>
  <si>
    <t>Remedial Education</t>
  </si>
  <si>
    <t>1  to</t>
  </si>
  <si>
    <t>ELL Incremental Costs</t>
  </si>
  <si>
    <t>ELL Compensatory Instruction</t>
  </si>
  <si>
    <t>Teachers</t>
  </si>
  <si>
    <t>Classified --</t>
  </si>
  <si>
    <t xml:space="preserve">             TOTAL</t>
  </si>
  <si>
    <t>Managers, Supervisors, Directors</t>
  </si>
  <si>
    <t>Teachers Aides</t>
  </si>
  <si>
    <t>Special Education --</t>
  </si>
  <si>
    <t>Teacher</t>
  </si>
  <si>
    <t xml:space="preserve">1 to </t>
  </si>
  <si>
    <t>Staff</t>
  </si>
  <si>
    <t>3. Increase in average teacher salary from the prior year</t>
  </si>
  <si>
    <t xml:space="preserve">4. Percentage increase </t>
  </si>
  <si>
    <t>Est. Budget FY</t>
  </si>
  <si>
    <r>
      <t xml:space="preserve">Primary Rate </t>
    </r>
    <r>
      <rPr>
        <sz val="8"/>
        <color indexed="8"/>
        <rFont val="Times New Roman"/>
        <family val="1"/>
      </rPr>
      <t>(equalization formula funding and budget add-ons not required to be in secondary rate)</t>
    </r>
  </si>
  <si>
    <t>Maintenance &amp; Operation Fund</t>
  </si>
  <si>
    <t>Classroom Site Fund</t>
  </si>
  <si>
    <t>Unrestricted Capital Outlay Fund</t>
  </si>
  <si>
    <t>Budgeted</t>
  </si>
  <si>
    <t>Expenditures</t>
  </si>
  <si>
    <t xml:space="preserve">3.  Budgeted expenditures and budget limits  </t>
  </si>
  <si>
    <t>proposed by the Governing Board on</t>
  </si>
  <si>
    <t xml:space="preserve">   at the District Office, telephone</t>
  </si>
  <si>
    <r>
      <rPr>
        <b/>
        <sz val="8"/>
        <rFont val="Times New Roman"/>
        <family val="1"/>
      </rPr>
      <t>Secondary Rate</t>
    </r>
    <r>
      <rPr>
        <sz val="8"/>
        <rFont val="Times New Roman"/>
        <family val="1"/>
      </rPr>
      <t xml:space="preserve"> (voter-approved overrides, bonds, and Career Technical Education Districts, and desegregation, if applicable)</t>
    </r>
  </si>
  <si>
    <t xml:space="preserve"> SUMMARY OF SCHOOL DISTRICT REVISED EXPENDITURE BUDGET</t>
  </si>
  <si>
    <t xml:space="preserve"> SUMMARY OF SCHOOL DISTRICT PROPOSED EXPENDITURE BUDGET</t>
  </si>
  <si>
    <t>Budget Limit</t>
  </si>
  <si>
    <t>Vocational and Technical Education (non-CTED)</t>
  </si>
  <si>
    <t>Career Technical Education (CTED)</t>
  </si>
  <si>
    <t>Career Education (non-CTED)</t>
  </si>
  <si>
    <t>Staff-Pupil Ratio</t>
  </si>
  <si>
    <t>Employee FTE</t>
  </si>
  <si>
    <t>Total FTE</t>
  </si>
  <si>
    <t>Superintendent, Principals, Other Administrators</t>
  </si>
  <si>
    <t>English Language Learners</t>
  </si>
  <si>
    <t>4. Average Teacher Salaries (A.R.S. §15-903.E)</t>
  </si>
  <si>
    <t xml:space="preserve">        Subtotal</t>
  </si>
  <si>
    <t xml:space="preserve">                            TOTAL</t>
  </si>
  <si>
    <t>Purchased Services Personnel FTE</t>
  </si>
  <si>
    <t>County for fiscal year 2025 was officially</t>
  </si>
  <si>
    <t>, 2024, and that the complete Revised Expenditure Budget may be reviewed by contacting</t>
  </si>
  <si>
    <t>, 2024, and that the complete Proposed Expenditure Budget may be reviewed by contacting</t>
  </si>
  <si>
    <t>1. Average salary of all teachers employed in FY 2025 (budget year)</t>
  </si>
  <si>
    <t>2. Average salary of all teachers employed in FY 2024 (prior year)</t>
  </si>
  <si>
    <t>2023 ADM</t>
  </si>
  <si>
    <t>2024 ADM</t>
  </si>
  <si>
    <t>2025 ADM</t>
  </si>
  <si>
    <r>
      <t xml:space="preserve">This is a notification that the above mentioned School District will be having a public hearing and board meeting to </t>
    </r>
    <r>
      <rPr>
        <b/>
        <sz val="10"/>
        <color theme="0"/>
        <rFont val="Arial"/>
        <family val="2"/>
      </rPr>
      <t>revise</t>
    </r>
    <r>
      <rPr>
        <sz val="10"/>
        <color theme="0"/>
        <rFont val="Arial"/>
        <family val="2"/>
      </rPr>
      <t xml:space="preserve"> its Fiscal Year 2025 Expenditure Budget, as required by A.R.S. §15-905(E)(1).</t>
    </r>
  </si>
  <si>
    <r>
      <t xml:space="preserve">This is a notification that the above mentioned School District will be having a public hearing and board meeting to </t>
    </r>
    <r>
      <rPr>
        <b/>
        <sz val="10"/>
        <color theme="0"/>
        <rFont val="Arial"/>
        <family val="2"/>
      </rPr>
      <t>adopt</t>
    </r>
    <r>
      <rPr>
        <sz val="10"/>
        <color theme="0"/>
        <rFont val="Arial"/>
        <family val="2"/>
      </rPr>
      <t xml:space="preserve"> its Fiscal Year 2025 Expenditure Budget.</t>
    </r>
  </si>
  <si>
    <t>030201000</t>
  </si>
  <si>
    <t>3285 E Sparrow Ave</t>
  </si>
  <si>
    <t>Flagstaff</t>
  </si>
  <si>
    <t>Ginger Stevens</t>
  </si>
  <si>
    <t>928-527-6043</t>
  </si>
  <si>
    <t>gstevens@fusd1.org</t>
  </si>
  <si>
    <t>Flagstaff Unified School</t>
  </si>
  <si>
    <t>Coconino</t>
  </si>
  <si>
    <t>June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</si>
</sst>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h:mm\ AM/PM;@"/>
    <numFmt numFmtId="165" formatCode="#,##0.000_);[Red]\(#,##0.000\)"/>
    <numFmt numFmtId="166" formatCode="#,##0.0000_);[Red]\(#,##0.0000\)"/>
    <numFmt numFmtId="167" formatCode="0.0%"/>
    <numFmt numFmtId="168" formatCode="#,##0.0_);\(#,##0.0\)"/>
  </numFmts>
  <fonts count="24">
    <font>
      <sz val="10"/>
      <name val="Arial"/>
      <family val="2"/>
    </font>
    <font>
      <u/>
      <sz val="10"/>
      <color indexed="12"/>
      <name val="Arial"/>
      <family val="2"/>
    </font>
    <font>
      <b/>
      <sz val="10"/>
      <name val="Arial"/>
      <family val="2"/>
    </font>
    <font>
      <sz val="8"/>
      <name val="Arial MT"/>
      <family val="2"/>
    </font>
    <font>
      <b/>
      <sz val="8"/>
      <color indexed="8"/>
      <name val="Times New Roman"/>
      <family val="1"/>
    </font>
    <font>
      <sz val="8"/>
      <name val="Times New Roman"/>
      <family val="1"/>
    </font>
    <font>
      <b/>
      <sz val="8"/>
      <name val="Times New Roman"/>
      <family val="1"/>
    </font>
    <font>
      <sz val="8"/>
      <color indexed="8"/>
      <name val="Times New Roman"/>
      <family val="1"/>
    </font>
    <font>
      <b/>
      <sz val="8"/>
      <color indexed="12"/>
      <name val="Times New Roman"/>
      <family val="1"/>
    </font>
    <font>
      <sz val="9"/>
      <name val="Arial MT"/>
      <family val="2"/>
    </font>
    <font>
      <sz val="12"/>
      <name val="Arial"/>
      <family val="2"/>
    </font>
    <font>
      <b/>
      <vertAlign val="superscript"/>
      <sz val="8"/>
      <color indexed="8"/>
      <name val="Times New Roman"/>
      <family val="1"/>
    </font>
    <font>
      <sz val="9"/>
      <name val="Times New Roman"/>
      <family val="1"/>
    </font>
    <font>
      <b/>
      <sz val="20"/>
      <color rgb="FFC00000"/>
      <name val="Times New Roman"/>
      <family val="1"/>
    </font>
    <font>
      <sz val="10"/>
      <color theme="0"/>
      <name val="Arial"/>
      <family val="2"/>
    </font>
    <font>
      <b/>
      <sz val="22"/>
      <color rgb="FFFF0000"/>
      <name val="Times New Roman"/>
      <family val="1"/>
    </font>
    <font>
      <b/>
      <sz val="8"/>
      <color theme="0"/>
      <name val="Times New Roman"/>
      <family val="1"/>
    </font>
    <font>
      <sz val="8"/>
      <color theme="0"/>
      <name val="Times New Roman"/>
      <family val="1"/>
    </font>
    <font>
      <b/>
      <sz val="9"/>
      <name val="Times New Roman"/>
      <family val="1"/>
    </font>
    <font>
      <b/>
      <sz val="22"/>
      <name val="Times New Roman"/>
      <family val="1"/>
    </font>
    <font>
      <sz val="8"/>
      <color theme="1"/>
      <name val="Times New Roman"/>
      <family val="1"/>
    </font>
    <font>
      <b/>
      <sz val="8"/>
      <color theme="1"/>
      <name val="Times New Roman"/>
      <family val="1"/>
    </font>
    <font>
      <b/>
      <sz val="10"/>
      <color theme="0"/>
      <name val="Arial"/>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55">
    <border>
      <left/>
      <right/>
      <top/>
      <bottom/>
      <diagonal/>
    </border>
    <border>
      <left/>
      <right/>
      <top style="thin">
        <color auto="1"/>
      </top>
      <bottom style="thin">
        <color auto="1"/>
      </bottom>
      <diagonal/>
    </border>
    <border>
      <left/>
      <right/>
      <top/>
      <bottom style="thin">
        <color auto="1"/>
      </bottom>
      <diagonal/>
    </border>
    <border>
      <left/>
      <right/>
      <top/>
      <bottom style="thin">
        <color indexed="8"/>
      </bottom>
      <diagonal/>
    </border>
    <border>
      <left style="thin">
        <color auto="1"/>
      </left>
      <right/>
      <top style="thin">
        <color auto="1"/>
      </top>
      <bottom/>
      <diagonal/>
    </border>
    <border>
      <left/>
      <right/>
      <top style="thin">
        <color auto="1"/>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style="thin">
        <color indexed="8"/>
      </right>
      <top style="thin">
        <color auto="1"/>
      </top>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indexed="8"/>
      </top>
      <bottom/>
      <diagonal/>
    </border>
    <border>
      <left style="thin">
        <color indexed="8"/>
      </left>
      <right/>
      <top/>
      <bottom style="thin">
        <color auto="1"/>
      </bottom>
      <diagonal/>
    </border>
    <border>
      <left style="thin">
        <color auto="1"/>
      </left>
      <right/>
      <top style="thin">
        <color auto="1"/>
      </top>
      <bottom style="thin">
        <color indexed="8"/>
      </bottom>
      <diagonal/>
    </border>
    <border>
      <left style="thin">
        <color auto="1"/>
      </left>
      <right style="thin">
        <color auto="1"/>
      </right>
      <top style="thin">
        <color auto="1"/>
      </top>
      <bottom style="thin">
        <color auto="1"/>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auto="1"/>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bottom style="thin">
        <color auto="1"/>
      </bottom>
      <diagonal/>
    </border>
    <border>
      <left/>
      <right style="thin">
        <color indexed="8"/>
      </right>
      <top/>
      <bottom style="thin">
        <color auto="1"/>
      </bottom>
      <diagonal/>
    </border>
    <border>
      <left style="thin">
        <color indexed="8"/>
      </left>
      <right style="thin">
        <color indexed="8"/>
      </right>
      <top style="thin">
        <color indexed="8"/>
      </top>
      <bottom style="thin">
        <color auto="1"/>
      </bottom>
      <diagonal/>
    </border>
    <border>
      <left style="thin">
        <color auto="1"/>
      </left>
      <right/>
      <top style="thin">
        <color indexed="8"/>
      </top>
      <bottom style="thin">
        <color auto="1"/>
      </bottom>
      <diagonal/>
    </border>
    <border>
      <left/>
      <right style="thin">
        <color auto="1"/>
      </right>
      <top/>
      <bottom/>
      <diagonal/>
    </border>
    <border>
      <left style="thin">
        <color indexed="8"/>
      </left>
      <right style="thin">
        <color indexed="8"/>
      </right>
      <top style="medium">
        <color auto="1"/>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bottom style="double">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right style="thin">
        <color auto="1"/>
      </right>
      <top style="thin">
        <color auto="1"/>
      </top>
      <bottom style="thin">
        <color auto="1"/>
      </bottom>
      <diagonal/>
    </border>
    <border>
      <left/>
      <right style="thin">
        <color auto="1"/>
      </right>
      <top style="thin">
        <color indexed="8"/>
      </top>
      <bottom style="thin">
        <color indexed="8"/>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right style="thin">
        <color auto="1"/>
      </right>
      <top style="thin">
        <color indexed="8"/>
      </top>
      <bottom style="thin">
        <color auto="1"/>
      </bottom>
      <diagonal/>
    </border>
    <border>
      <left/>
      <right style="thin">
        <color auto="1"/>
      </right>
      <top style="thin">
        <color indexed="8"/>
      </top>
      <bottom/>
      <diagonal/>
    </border>
    <border>
      <left/>
      <right style="thin">
        <color auto="1"/>
      </right>
      <top/>
      <bottom style="thin">
        <color indexed="8"/>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auto="1"/>
      </left>
      <right style="thin">
        <color auto="1"/>
      </right>
      <top/>
      <bottom/>
      <diagonal/>
    </border>
    <border>
      <left style="thin">
        <color auto="1"/>
      </left>
      <right style="thin">
        <color auto="1"/>
      </right>
      <top/>
      <bottom style="thin">
        <color indexed="8"/>
      </bottom>
      <diagonal/>
    </border>
    <border>
      <left style="thin">
        <color indexed="8"/>
      </left>
      <right style="thin">
        <color auto="1"/>
      </right>
      <top style="thin">
        <color indexed="8"/>
      </top>
      <bottom/>
      <diagonal/>
    </border>
    <border>
      <left style="thin">
        <color auto="1"/>
      </left>
      <right style="thin">
        <color auto="1"/>
      </right>
      <top/>
      <bottom style="thin">
        <color auto="1"/>
      </bottom>
      <diagonal/>
    </border>
  </borders>
  <cellStyleXfs count="11">
    <xf numFmtId="0" fontId="0" fillId="0" borderId="0"/>
    <xf numFmtId="9" fontId="23" fillId="0" borderId="0" applyFont="0" applyFill="0" applyBorder="0" applyAlignment="0" applyProtection="0"/>
    <xf numFmtId="44" fontId="23" fillId="0" borderId="0" applyFont="0" applyFill="0" applyBorder="0" applyAlignment="0" applyProtection="0"/>
    <xf numFmtId="42" fontId="23" fillId="0" borderId="0" applyFont="0" applyFill="0" applyBorder="0" applyAlignment="0" applyProtection="0"/>
    <xf numFmtId="43" fontId="23" fillId="0" borderId="0" applyFont="0" applyFill="0" applyBorder="0" applyAlignment="0" applyProtection="0"/>
    <xf numFmtId="41" fontId="23" fillId="0" borderId="0" applyFont="0" applyFill="0" applyBorder="0" applyAlignment="0" applyProtection="0"/>
    <xf numFmtId="0" fontId="1" fillId="0" borderId="0" applyNumberFormat="0" applyFill="0" applyBorder="0">
      <protection locked="0"/>
    </xf>
    <xf numFmtId="0" fontId="23" fillId="0" borderId="0"/>
    <xf numFmtId="0" fontId="9" fillId="2" borderId="0"/>
    <xf numFmtId="0" fontId="3" fillId="2" borderId="0"/>
    <xf numFmtId="0" fontId="3" fillId="2" borderId="0"/>
  </cellStyleXfs>
  <cellXfs count="317">
    <xf numFmtId="0" fontId="0" fillId="0" borderId="0" xfId="0"/>
    <xf numFmtId="0" fontId="23" fillId="0" borderId="1" xfId="7" applyBorder="1" applyAlignment="1" applyProtection="1">
      <alignment horizontal="center"/>
      <protection locked="0"/>
    </xf>
    <xf numFmtId="49" fontId="6" fillId="0" borderId="2" xfId="7" applyNumberFormat="1" applyFont="1" applyBorder="1" applyAlignment="1" applyProtection="1">
      <alignment horizontal="center"/>
      <protection locked="0"/>
    </xf>
    <xf numFmtId="0" fontId="6" fillId="0" borderId="2" xfId="7" applyFont="1" applyBorder="1" applyProtection="1">
      <protection locked="0"/>
    </xf>
    <xf numFmtId="0" fontId="23" fillId="0" borderId="0" xfId="7" applyAlignment="1">
      <alignment horizontal="right"/>
    </xf>
    <xf numFmtId="49" fontId="23" fillId="0" borderId="2" xfId="7" applyNumberFormat="1" applyBorder="1"/>
    <xf numFmtId="0" fontId="23" fillId="0" borderId="0" xfId="7"/>
    <xf numFmtId="49" fontId="0" fillId="2" borderId="3" xfId="9" applyNumberFormat="1" applyFont="1" applyBorder="1" applyAlignment="1">
      <alignment horizontal="center"/>
    </xf>
    <xf numFmtId="49" fontId="0" fillId="2" borderId="0" xfId="9" applyNumberFormat="1" applyFont="1" applyAlignment="1">
      <alignment horizontal="center"/>
    </xf>
    <xf numFmtId="0" fontId="2" fillId="0" borderId="0" xfId="7" applyFont="1" applyAlignment="1">
      <alignment wrapText="1"/>
    </xf>
    <xf numFmtId="0" fontId="14" fillId="0" borderId="0" xfId="7" applyFont="1"/>
    <xf numFmtId="0" fontId="0" fillId="0" borderId="0" xfId="0" applyAlignment="1">
      <alignment wrapText="1"/>
    </xf>
    <xf numFmtId="0" fontId="14" fillId="0" borderId="0" xfId="0" applyFont="1" applyAlignment="1">
      <alignment wrapText="1"/>
    </xf>
    <xf numFmtId="0" fontId="23" fillId="0" borderId="0" xfId="7" applyAlignment="1">
      <alignment horizontal="center"/>
    </xf>
    <xf numFmtId="0" fontId="2" fillId="0" borderId="0" xfId="7" applyFont="1"/>
    <xf numFmtId="164" fontId="23" fillId="0" borderId="0" xfId="7" applyNumberFormat="1" applyAlignment="1">
      <alignment horizontal="center"/>
    </xf>
    <xf numFmtId="0" fontId="23" fillId="0" borderId="1" xfId="7" applyBorder="1" applyAlignment="1">
      <alignment horizontal="center"/>
    </xf>
    <xf numFmtId="0" fontId="23" fillId="0" borderId="0" xfId="7" applyAlignment="1">
      <alignment vertical="top" wrapText="1"/>
    </xf>
    <xf numFmtId="0" fontId="23" fillId="0" borderId="0" xfId="7" applyAlignment="1">
      <alignment horizontal="left"/>
    </xf>
    <xf numFmtId="0" fontId="16" fillId="0" borderId="0" xfId="7" applyFont="1"/>
    <xf numFmtId="37" fontId="4" fillId="2" borderId="0" xfId="9" applyNumberFormat="1" applyFont="1" applyAlignment="1">
      <alignment horizontal="right"/>
    </xf>
    <xf numFmtId="0" fontId="3" fillId="2" borderId="0" xfId="9"/>
    <xf numFmtId="0" fontId="23" fillId="0" borderId="0" xfId="7" applyAlignment="1">
      <alignment wrapText="1"/>
    </xf>
    <xf numFmtId="0" fontId="6" fillId="0" borderId="0" xfId="7" applyFont="1" applyAlignment="1">
      <alignment horizontal="right" wrapText="1"/>
    </xf>
    <xf numFmtId="0" fontId="6" fillId="2" borderId="0" xfId="9" applyFont="1" applyAlignment="1">
      <alignment horizontal="left"/>
    </xf>
    <xf numFmtId="0" fontId="6" fillId="2" borderId="0" xfId="9" applyFont="1" applyAlignment="1">
      <alignment horizontal="center"/>
    </xf>
    <xf numFmtId="0" fontId="6" fillId="0" borderId="0" xfId="9" applyFont="1" applyFill="1"/>
    <xf numFmtId="0" fontId="6" fillId="0" borderId="0" xfId="7" applyFont="1"/>
    <xf numFmtId="0" fontId="5" fillId="2" borderId="0" xfId="9" applyFont="1"/>
    <xf numFmtId="37" fontId="7" fillId="2" borderId="0" xfId="9" applyNumberFormat="1" applyFont="1"/>
    <xf numFmtId="0" fontId="17" fillId="0" borderId="0" xfId="7" applyFont="1"/>
    <xf numFmtId="37" fontId="4" fillId="2" borderId="0" xfId="9" applyNumberFormat="1" applyFont="1"/>
    <xf numFmtId="0" fontId="8" fillId="3" borderId="4" xfId="6" applyNumberFormat="1" applyFont="1" applyFill="1" applyBorder="1" applyProtection="1"/>
    <xf numFmtId="0" fontId="8" fillId="3" borderId="5" xfId="6" applyNumberFormat="1" applyFont="1" applyFill="1" applyBorder="1" applyProtection="1"/>
    <xf numFmtId="0" fontId="3" fillId="0" borderId="6" xfId="9" applyFill="1" applyBorder="1"/>
    <xf numFmtId="37" fontId="4" fillId="0" borderId="6" xfId="9" applyNumberFormat="1" applyFont="1" applyFill="1" applyBorder="1" applyAlignment="1">
      <alignment horizontal="center" vertical="center"/>
    </xf>
    <xf numFmtId="37" fontId="4" fillId="0" borderId="4" xfId="9" applyNumberFormat="1" applyFont="1" applyFill="1" applyBorder="1" applyAlignment="1">
      <alignment horizontal="left"/>
    </xf>
    <xf numFmtId="37" fontId="4" fillId="0" borderId="5" xfId="9" applyNumberFormat="1" applyFont="1" applyFill="1" applyBorder="1" applyAlignment="1">
      <alignment horizontal="left"/>
    </xf>
    <xf numFmtId="0" fontId="12" fillId="0" borderId="6" xfId="0" applyFont="1" applyBorder="1" applyAlignment="1">
      <alignment horizontal="left"/>
    </xf>
    <xf numFmtId="0" fontId="12" fillId="0" borderId="6" xfId="0" applyFont="1" applyBorder="1"/>
    <xf numFmtId="37" fontId="18" fillId="0" borderId="7" xfId="9" applyNumberFormat="1" applyFont="1" applyFill="1" applyBorder="1" applyAlignment="1">
      <alignment vertical="top" wrapText="1"/>
    </xf>
    <xf numFmtId="37" fontId="4" fillId="2" borderId="8" xfId="9" applyNumberFormat="1" applyFont="1" applyBorder="1"/>
    <xf numFmtId="37" fontId="7" fillId="0" borderId="0" xfId="9" applyNumberFormat="1" applyFont="1" applyFill="1" applyAlignment="1">
      <alignment horizontal="left"/>
    </xf>
    <xf numFmtId="0" fontId="3" fillId="0" borderId="0" xfId="9" applyFill="1"/>
    <xf numFmtId="0" fontId="5" fillId="0" borderId="0" xfId="0" applyFont="1" applyAlignment="1">
      <alignment horizontal="right"/>
    </xf>
    <xf numFmtId="37" fontId="4" fillId="2" borderId="9" xfId="9" applyNumberFormat="1" applyFont="1" applyBorder="1" applyAlignment="1">
      <alignment horizontal="center" vertical="center"/>
    </xf>
    <xf numFmtId="165" fontId="7" fillId="0" borderId="10" xfId="9" applyNumberFormat="1" applyFont="1" applyFill="1" applyBorder="1"/>
    <xf numFmtId="0" fontId="5" fillId="2" borderId="11" xfId="9" applyFont="1" applyBorder="1"/>
    <xf numFmtId="37" fontId="4" fillId="2" borderId="12" xfId="9" applyNumberFormat="1" applyFont="1" applyBorder="1" applyAlignment="1">
      <alignment horizontal="center" vertical="center"/>
    </xf>
    <xf numFmtId="165" fontId="5" fillId="0" borderId="13" xfId="7" applyNumberFormat="1" applyFont="1" applyBorder="1"/>
    <xf numFmtId="165" fontId="5" fillId="0" borderId="14" xfId="7" applyNumberFormat="1" applyFont="1" applyBorder="1"/>
    <xf numFmtId="37" fontId="7" fillId="0" borderId="8" xfId="9" applyNumberFormat="1" applyFont="1" applyFill="1" applyBorder="1" applyAlignment="1">
      <alignment horizontal="left"/>
    </xf>
    <xf numFmtId="37" fontId="4" fillId="2" borderId="11" xfId="9" applyNumberFormat="1" applyFont="1" applyBorder="1"/>
    <xf numFmtId="37" fontId="4" fillId="2" borderId="6" xfId="9" applyNumberFormat="1" applyFont="1" applyBorder="1"/>
    <xf numFmtId="0" fontId="6" fillId="2" borderId="5" xfId="9" applyFont="1" applyBorder="1" applyAlignment="1">
      <alignment horizontal="center"/>
    </xf>
    <xf numFmtId="0" fontId="5" fillId="0" borderId="0" xfId="0" quotePrefix="1" applyFont="1" applyAlignment="1">
      <alignment horizontal="left"/>
    </xf>
    <xf numFmtId="0" fontId="5" fillId="0" borderId="0" xfId="7" applyFont="1"/>
    <xf numFmtId="0" fontId="5" fillId="0" borderId="9" xfId="7" applyFont="1" applyBorder="1"/>
    <xf numFmtId="37" fontId="19" fillId="0" borderId="0" xfId="9" applyNumberFormat="1" applyFont="1" applyFill="1" applyAlignment="1">
      <alignment vertical="top" wrapText="1"/>
    </xf>
    <xf numFmtId="37" fontId="15" fillId="0" borderId="0" xfId="9" applyNumberFormat="1" applyFont="1" applyFill="1" applyAlignment="1">
      <alignment vertical="top" wrapText="1"/>
    </xf>
    <xf numFmtId="37" fontId="4" fillId="0" borderId="0" xfId="9" applyNumberFormat="1" applyFont="1" applyFill="1" applyAlignment="1">
      <alignment horizontal="left"/>
    </xf>
    <xf numFmtId="0" fontId="12" fillId="0" borderId="0" xfId="0" applyFont="1" applyAlignment="1">
      <alignment horizontal="left"/>
    </xf>
    <xf numFmtId="0" fontId="12" fillId="0" borderId="0" xfId="0" applyFont="1"/>
    <xf numFmtId="38" fontId="5" fillId="0" borderId="0" xfId="0" applyNumberFormat="1" applyFont="1"/>
    <xf numFmtId="37" fontId="4" fillId="2" borderId="11" xfId="9" applyNumberFormat="1" applyFont="1" applyBorder="1" applyAlignment="1">
      <alignment horizontal="left"/>
    </xf>
    <xf numFmtId="37" fontId="4" fillId="2" borderId="0" xfId="9" applyNumberFormat="1" applyFont="1" applyAlignment="1">
      <alignment horizontal="left"/>
    </xf>
    <xf numFmtId="0" fontId="6" fillId="2" borderId="6" xfId="9" applyFont="1" applyBorder="1" applyAlignment="1">
      <alignment horizontal="center"/>
    </xf>
    <xf numFmtId="0" fontId="6" fillId="2" borderId="15" xfId="9" applyFont="1" applyBorder="1" applyAlignment="1">
      <alignment horizontal="center"/>
    </xf>
    <xf numFmtId="9" fontId="5" fillId="0" borderId="0" xfId="1" applyFont="1" applyFill="1" applyBorder="1" applyProtection="1"/>
    <xf numFmtId="0" fontId="23" fillId="0" borderId="8" xfId="7" applyBorder="1"/>
    <xf numFmtId="0" fontId="6" fillId="2" borderId="16" xfId="9" applyFont="1" applyBorder="1" applyAlignment="1">
      <alignment horizontal="center"/>
    </xf>
    <xf numFmtId="37" fontId="4" fillId="2" borderId="8" xfId="9" applyNumberFormat="1" applyFont="1" applyBorder="1" applyAlignment="1">
      <alignment horizontal="left"/>
    </xf>
    <xf numFmtId="37" fontId="7" fillId="2" borderId="11" xfId="9" applyNumberFormat="1" applyFont="1" applyBorder="1"/>
    <xf numFmtId="37" fontId="7" fillId="2" borderId="17" xfId="9" applyNumberFormat="1" applyFont="1" applyBorder="1"/>
    <xf numFmtId="37" fontId="5" fillId="2" borderId="18" xfId="10" applyNumberFormat="1" applyFont="1" applyBorder="1"/>
    <xf numFmtId="37" fontId="7" fillId="2" borderId="19" xfId="9" applyNumberFormat="1" applyFont="1" applyBorder="1"/>
    <xf numFmtId="37" fontId="4" fillId="2" borderId="20" xfId="9" applyNumberFormat="1" applyFont="1" applyBorder="1" applyAlignment="1">
      <alignment horizontal="left"/>
    </xf>
    <xf numFmtId="37" fontId="4" fillId="2" borderId="2" xfId="9" applyNumberFormat="1" applyFont="1" applyBorder="1" applyAlignment="1">
      <alignment horizontal="left"/>
    </xf>
    <xf numFmtId="0" fontId="23" fillId="0" borderId="2" xfId="7" applyBorder="1"/>
    <xf numFmtId="37" fontId="7" fillId="2" borderId="21" xfId="9" applyNumberFormat="1" applyFont="1" applyBorder="1"/>
    <xf numFmtId="37" fontId="7" fillId="2" borderId="22" xfId="9" applyNumberFormat="1" applyFont="1" applyBorder="1"/>
    <xf numFmtId="0" fontId="10" fillId="0" borderId="0" xfId="7" applyFont="1" applyAlignment="1">
      <alignment horizontal="left" vertical="center" wrapText="1"/>
    </xf>
    <xf numFmtId="0" fontId="10" fillId="0" borderId="2" xfId="7" applyFont="1" applyBorder="1" applyAlignment="1">
      <alignment horizontal="left" vertical="center" wrapText="1"/>
    </xf>
    <xf numFmtId="37" fontId="4" fillId="2" borderId="4" xfId="9" applyNumberFormat="1" applyFont="1" applyBorder="1" applyAlignment="1">
      <alignment horizontal="centerContinuous"/>
    </xf>
    <xf numFmtId="37" fontId="4" fillId="2" borderId="5" xfId="9" applyNumberFormat="1" applyFont="1" applyBorder="1" applyAlignment="1">
      <alignment horizontal="centerContinuous"/>
    </xf>
    <xf numFmtId="0" fontId="5" fillId="2" borderId="5" xfId="9" applyFont="1" applyBorder="1" applyAlignment="1">
      <alignment horizontal="centerContinuous"/>
    </xf>
    <xf numFmtId="37" fontId="4" fillId="2" borderId="23" xfId="9" applyNumberFormat="1" applyFont="1" applyBorder="1" applyAlignment="1">
      <alignment horizontal="centerContinuous"/>
    </xf>
    <xf numFmtId="37" fontId="4" fillId="2" borderId="24" xfId="9" applyNumberFormat="1" applyFont="1" applyBorder="1" applyAlignment="1">
      <alignment horizontal="centerContinuous"/>
    </xf>
    <xf numFmtId="37" fontId="4" fillId="2" borderId="25" xfId="9" applyNumberFormat="1" applyFont="1" applyBorder="1"/>
    <xf numFmtId="37" fontId="4" fillId="2" borderId="9" xfId="9" applyNumberFormat="1" applyFont="1" applyBorder="1"/>
    <xf numFmtId="37" fontId="4" fillId="2" borderId="7" xfId="9" applyNumberFormat="1" applyFont="1" applyBorder="1"/>
    <xf numFmtId="37" fontId="4" fillId="2" borderId="7" xfId="9" applyNumberFormat="1" applyFont="1" applyBorder="1" applyAlignment="1">
      <alignment horizontal="centerContinuous"/>
    </xf>
    <xf numFmtId="37" fontId="4" fillId="2" borderId="11" xfId="9" applyNumberFormat="1" applyFont="1" applyBorder="1" applyAlignment="1">
      <alignment horizontal="centerContinuous"/>
    </xf>
    <xf numFmtId="37" fontId="4" fillId="2" borderId="11" xfId="9" applyNumberFormat="1" applyFont="1" applyBorder="1" applyAlignment="1">
      <alignment horizontal="center"/>
    </xf>
    <xf numFmtId="37" fontId="4" fillId="2" borderId="14" xfId="9" applyNumberFormat="1" applyFont="1" applyBorder="1" applyAlignment="1">
      <alignment horizontal="centerContinuous"/>
    </xf>
    <xf numFmtId="37" fontId="4" fillId="2" borderId="12" xfId="9" applyNumberFormat="1" applyFont="1" applyBorder="1" applyAlignment="1">
      <alignment horizontal="centerContinuous"/>
    </xf>
    <xf numFmtId="37" fontId="4" fillId="2" borderId="8" xfId="9" applyNumberFormat="1" applyFont="1" applyBorder="1" applyAlignment="1">
      <alignment horizontal="centerContinuous"/>
    </xf>
    <xf numFmtId="37" fontId="4" fillId="2" borderId="0" xfId="9" applyNumberFormat="1" applyFont="1" applyAlignment="1">
      <alignment horizontal="centerContinuous"/>
    </xf>
    <xf numFmtId="37" fontId="4" fillId="2" borderId="8" xfId="9" applyNumberFormat="1" applyFont="1" applyBorder="1" applyAlignment="1">
      <alignment horizontal="center"/>
    </xf>
    <xf numFmtId="37" fontId="4" fillId="2" borderId="26" xfId="9" applyNumberFormat="1" applyFont="1" applyBorder="1" applyAlignment="1">
      <alignment horizontal="center"/>
    </xf>
    <xf numFmtId="37" fontId="4" fillId="2" borderId="13" xfId="9" applyNumberFormat="1" applyFont="1" applyBorder="1"/>
    <xf numFmtId="37" fontId="4" fillId="2" borderId="14" xfId="9" applyNumberFormat="1" applyFont="1" applyBorder="1"/>
    <xf numFmtId="37" fontId="4" fillId="2" borderId="14" xfId="9" applyNumberFormat="1" applyFont="1" applyBorder="1" applyAlignment="1">
      <alignment horizontal="center"/>
    </xf>
    <xf numFmtId="0" fontId="6" fillId="2" borderId="25" xfId="8" applyFont="1" applyBorder="1"/>
    <xf numFmtId="0" fontId="6" fillId="2" borderId="0" xfId="8" applyFont="1"/>
    <xf numFmtId="0" fontId="6" fillId="0" borderId="25" xfId="8" applyFont="1" applyFill="1" applyBorder="1"/>
    <xf numFmtId="0" fontId="6" fillId="0" borderId="0" xfId="8" applyFont="1" applyFill="1"/>
    <xf numFmtId="37" fontId="7" fillId="2" borderId="27" xfId="9" applyNumberFormat="1" applyFont="1" applyBorder="1"/>
    <xf numFmtId="37" fontId="7" fillId="2" borderId="13" xfId="9" applyNumberFormat="1" applyFont="1" applyBorder="1"/>
    <xf numFmtId="37" fontId="7" fillId="2" borderId="28" xfId="9" applyNumberFormat="1" applyFont="1" applyBorder="1"/>
    <xf numFmtId="37" fontId="4" fillId="0" borderId="0" xfId="9" applyNumberFormat="1" applyFont="1" applyFill="1"/>
    <xf numFmtId="37" fontId="7" fillId="0" borderId="13" xfId="9" applyNumberFormat="1" applyFont="1" applyFill="1" applyBorder="1"/>
    <xf numFmtId="37" fontId="7" fillId="0" borderId="28" xfId="9" applyNumberFormat="1" applyFont="1" applyFill="1" applyBorder="1"/>
    <xf numFmtId="37" fontId="7" fillId="0" borderId="27" xfId="9" applyNumberFormat="1" applyFont="1" applyFill="1" applyBorder="1"/>
    <xf numFmtId="0" fontId="6" fillId="2" borderId="25" xfId="8" applyFont="1" applyBorder="1" applyAlignment="1">
      <alignment horizontal="left"/>
    </xf>
    <xf numFmtId="0" fontId="6" fillId="2" borderId="0" xfId="8" applyFont="1" applyAlignment="1">
      <alignment horizontal="left"/>
    </xf>
    <xf numFmtId="37" fontId="5" fillId="2" borderId="27" xfId="9" applyNumberFormat="1" applyFont="1" applyBorder="1"/>
    <xf numFmtId="0" fontId="6" fillId="2" borderId="25" xfId="9" applyFont="1" applyBorder="1"/>
    <xf numFmtId="0" fontId="6" fillId="2" borderId="0" xfId="9" applyFont="1"/>
    <xf numFmtId="0" fontId="6" fillId="0" borderId="25" xfId="9" applyFont="1" applyFill="1" applyBorder="1"/>
    <xf numFmtId="37" fontId="5" fillId="0" borderId="27" xfId="9" applyNumberFormat="1" applyFont="1" applyFill="1" applyBorder="1"/>
    <xf numFmtId="0" fontId="23" fillId="0" borderId="9" xfId="7" applyBorder="1"/>
    <xf numFmtId="37" fontId="5" fillId="0" borderId="13" xfId="9" applyNumberFormat="1" applyFont="1" applyFill="1" applyBorder="1"/>
    <xf numFmtId="37" fontId="4" fillId="2" borderId="29" xfId="9" applyNumberFormat="1" applyFont="1" applyBorder="1" applyAlignment="1">
      <alignment horizontal="left"/>
    </xf>
    <xf numFmtId="0" fontId="5" fillId="2" borderId="30" xfId="9" applyFont="1" applyBorder="1"/>
    <xf numFmtId="37" fontId="5" fillId="2" borderId="31" xfId="9" applyNumberFormat="1" applyFont="1" applyBorder="1"/>
    <xf numFmtId="37" fontId="5" fillId="2" borderId="0" xfId="9" applyNumberFormat="1" applyFont="1"/>
    <xf numFmtId="167" fontId="7" fillId="2" borderId="5" xfId="9" applyNumberFormat="1" applyFont="1" applyBorder="1" applyAlignment="1">
      <alignment horizontal="right"/>
    </xf>
    <xf numFmtId="37" fontId="7" fillId="2" borderId="0" xfId="10" applyNumberFormat="1" applyFont="1" applyAlignment="1">
      <alignment horizontal="centerContinuous"/>
    </xf>
    <xf numFmtId="37" fontId="4" fillId="2" borderId="9" xfId="10" applyNumberFormat="1" applyFont="1" applyBorder="1" applyAlignment="1">
      <alignment horizontal="center"/>
    </xf>
    <xf numFmtId="0" fontId="13" fillId="0" borderId="0" xfId="10" applyFont="1" applyFill="1" applyAlignment="1">
      <alignment horizontal="center" vertical="center" wrapText="1"/>
    </xf>
    <xf numFmtId="37" fontId="4" fillId="2" borderId="25" xfId="10" applyNumberFormat="1" applyFont="1" applyBorder="1"/>
    <xf numFmtId="37" fontId="4" fillId="2" borderId="3" xfId="10" applyNumberFormat="1" applyFont="1" applyBorder="1"/>
    <xf numFmtId="37" fontId="4" fillId="2" borderId="13" xfId="10" applyNumberFormat="1" applyFont="1" applyBorder="1" applyAlignment="1">
      <alignment horizontal="center"/>
    </xf>
    <xf numFmtId="37" fontId="7" fillId="0" borderId="11" xfId="10" applyNumberFormat="1" applyFont="1" applyFill="1" applyBorder="1"/>
    <xf numFmtId="37" fontId="7" fillId="0" borderId="7" xfId="10" applyNumberFormat="1" applyFont="1" applyFill="1" applyBorder="1"/>
    <xf numFmtId="37" fontId="7" fillId="0" borderId="26" xfId="10" applyNumberFormat="1" applyFont="1" applyFill="1" applyBorder="1"/>
    <xf numFmtId="37" fontId="7" fillId="0" borderId="25" xfId="10" applyNumberFormat="1" applyFont="1" applyFill="1" applyBorder="1"/>
    <xf numFmtId="37" fontId="7" fillId="0" borderId="0" xfId="10" applyNumberFormat="1" applyFont="1" applyFill="1"/>
    <xf numFmtId="37" fontId="7" fillId="0" borderId="22" xfId="10" applyNumberFormat="1" applyFont="1" applyFill="1" applyBorder="1"/>
    <xf numFmtId="37" fontId="7" fillId="2" borderId="32" xfId="10" applyNumberFormat="1" applyFont="1" applyBorder="1"/>
    <xf numFmtId="0" fontId="5" fillId="0" borderId="25" xfId="7" applyFont="1" applyBorder="1"/>
    <xf numFmtId="0" fontId="5" fillId="0" borderId="33" xfId="7" applyFont="1" applyBorder="1"/>
    <xf numFmtId="37" fontId="5" fillId="2" borderId="22" xfId="10" applyNumberFormat="1" applyFont="1" applyBorder="1"/>
    <xf numFmtId="37" fontId="7" fillId="2" borderId="8" xfId="10" applyNumberFormat="1" applyFont="1" applyBorder="1"/>
    <xf numFmtId="37" fontId="7" fillId="2" borderId="9" xfId="10" applyNumberFormat="1" applyFont="1" applyBorder="1"/>
    <xf numFmtId="37" fontId="7" fillId="2" borderId="14" xfId="10" applyNumberFormat="1" applyFont="1" applyBorder="1"/>
    <xf numFmtId="38" fontId="7" fillId="2" borderId="8" xfId="10" applyNumberFormat="1" applyFont="1" applyBorder="1"/>
    <xf numFmtId="38" fontId="7" fillId="2" borderId="9" xfId="10" applyNumberFormat="1" applyFont="1" applyBorder="1"/>
    <xf numFmtId="0" fontId="5" fillId="0" borderId="8" xfId="7" applyFont="1" applyBorder="1"/>
    <xf numFmtId="37" fontId="7" fillId="0" borderId="14" xfId="10" applyNumberFormat="1" applyFont="1" applyFill="1" applyBorder="1"/>
    <xf numFmtId="37" fontId="7" fillId="0" borderId="12" xfId="10" applyNumberFormat="1" applyFont="1" applyFill="1" applyBorder="1"/>
    <xf numFmtId="37" fontId="7" fillId="0" borderId="6" xfId="10" applyNumberFormat="1" applyFont="1" applyFill="1" applyBorder="1" applyAlignment="1">
      <alignment horizontal="left"/>
    </xf>
    <xf numFmtId="0" fontId="23" fillId="0" borderId="7" xfId="7" applyBorder="1"/>
    <xf numFmtId="37" fontId="7" fillId="0" borderId="34" xfId="10" applyNumberFormat="1" applyFont="1" applyFill="1" applyBorder="1"/>
    <xf numFmtId="37" fontId="7" fillId="2" borderId="0" xfId="10" applyNumberFormat="1" applyFont="1"/>
    <xf numFmtId="37" fontId="7" fillId="0" borderId="8" xfId="10" applyNumberFormat="1" applyFont="1" applyFill="1" applyBorder="1"/>
    <xf numFmtId="37" fontId="7" fillId="0" borderId="35" xfId="10" applyNumberFormat="1" applyFont="1" applyFill="1" applyBorder="1"/>
    <xf numFmtId="37" fontId="7" fillId="2" borderId="14" xfId="10" applyNumberFormat="1" applyFont="1" applyBorder="1" applyAlignment="1">
      <alignment horizontal="left"/>
    </xf>
    <xf numFmtId="37" fontId="7" fillId="2" borderId="3" xfId="10" applyNumberFormat="1" applyFont="1" applyBorder="1" applyAlignment="1">
      <alignment horizontal="left"/>
    </xf>
    <xf numFmtId="0" fontId="23" fillId="0" borderId="12" xfId="7" applyBorder="1"/>
    <xf numFmtId="37" fontId="7" fillId="0" borderId="36" xfId="10" applyNumberFormat="1" applyFont="1" applyFill="1" applyBorder="1"/>
    <xf numFmtId="37" fontId="4" fillId="0" borderId="27" xfId="10" applyNumberFormat="1" applyFont="1" applyFill="1" applyBorder="1" applyAlignment="1">
      <alignment horizontal="center" wrapText="1"/>
    </xf>
    <xf numFmtId="37" fontId="4" fillId="0" borderId="27" xfId="10" applyNumberFormat="1" applyFont="1" applyFill="1" applyBorder="1" applyAlignment="1">
      <alignment horizontal="center"/>
    </xf>
    <xf numFmtId="37" fontId="7" fillId="2" borderId="3" xfId="10" applyNumberFormat="1" applyFont="1" applyBorder="1"/>
    <xf numFmtId="37" fontId="7" fillId="2" borderId="12" xfId="10" applyNumberFormat="1" applyFont="1" applyBorder="1"/>
    <xf numFmtId="0" fontId="5" fillId="0" borderId="27" xfId="7" applyFont="1" applyBorder="1"/>
    <xf numFmtId="37" fontId="7" fillId="2" borderId="28" xfId="10" applyNumberFormat="1" applyFont="1" applyBorder="1" applyAlignment="1">
      <alignment horizontal="right"/>
    </xf>
    <xf numFmtId="168" fontId="7" fillId="0" borderId="12" xfId="10" applyNumberFormat="1" applyFont="1" applyFill="1" applyBorder="1" applyAlignment="1">
      <alignment horizontal="center"/>
    </xf>
    <xf numFmtId="37" fontId="7" fillId="2" borderId="3" xfId="10" applyNumberFormat="1" applyFont="1" applyBorder="1" applyAlignment="1">
      <alignment horizontal="right"/>
    </xf>
    <xf numFmtId="37" fontId="7" fillId="2" borderId="8" xfId="10" applyNumberFormat="1" applyFont="1" applyBorder="1" applyAlignment="1">
      <alignment horizontal="left"/>
    </xf>
    <xf numFmtId="37" fontId="7" fillId="2" borderId="0" xfId="10" applyNumberFormat="1" applyFont="1" applyAlignment="1">
      <alignment horizontal="right"/>
    </xf>
    <xf numFmtId="37" fontId="7" fillId="2" borderId="37" xfId="10" applyNumberFormat="1" applyFont="1" applyBorder="1" applyAlignment="1">
      <alignment horizontal="right"/>
    </xf>
    <xf numFmtId="0" fontId="5" fillId="2" borderId="0" xfId="10" applyFont="1" applyAlignment="1">
      <alignment horizontal="right"/>
    </xf>
    <xf numFmtId="0" fontId="5" fillId="2" borderId="9" xfId="10" applyFont="1" applyBorder="1" applyAlignment="1">
      <alignment horizontal="center"/>
    </xf>
    <xf numFmtId="0" fontId="5" fillId="2" borderId="12" xfId="10" applyFont="1" applyBorder="1" applyAlignment="1">
      <alignment horizontal="center"/>
    </xf>
    <xf numFmtId="0" fontId="5" fillId="0" borderId="22" xfId="7" applyFont="1" applyBorder="1"/>
    <xf numFmtId="0" fontId="5" fillId="2" borderId="18" xfId="10" applyFont="1" applyBorder="1" applyAlignment="1">
      <alignment horizontal="right"/>
    </xf>
    <xf numFmtId="168" fontId="7" fillId="2" borderId="38" xfId="10" applyNumberFormat="1" applyFont="1" applyBorder="1" applyAlignment="1">
      <alignment horizontal="center"/>
    </xf>
    <xf numFmtId="37" fontId="7" fillId="2" borderId="20" xfId="10" applyNumberFormat="1" applyFont="1" applyBorder="1" applyAlignment="1">
      <alignment horizontal="left"/>
    </xf>
    <xf numFmtId="0" fontId="5" fillId="2" borderId="2" xfId="10" applyFont="1" applyBorder="1"/>
    <xf numFmtId="168" fontId="7" fillId="2" borderId="30" xfId="10" applyNumberFormat="1" applyFont="1" applyBorder="1" applyAlignment="1">
      <alignment horizontal="center"/>
    </xf>
    <xf numFmtId="37" fontId="20" fillId="0" borderId="25" xfId="9" applyNumberFormat="1" applyFont="1" applyFill="1" applyBorder="1" applyAlignment="1">
      <alignment horizontal="left"/>
    </xf>
    <xf numFmtId="0" fontId="21" fillId="0" borderId="0" xfId="9" applyFont="1" applyFill="1" applyAlignment="1">
      <alignment horizontal="center" vertical="top"/>
    </xf>
    <xf numFmtId="0" fontId="0" fillId="0" borderId="0" xfId="0"/>
    <xf numFmtId="37" fontId="7" fillId="2" borderId="22" xfId="10" applyNumberFormat="1" applyFont="1" applyBorder="1" applyAlignment="1">
      <alignment horizontal="right"/>
    </xf>
    <xf numFmtId="37" fontId="7" fillId="2" borderId="27" xfId="10" applyNumberFormat="1" applyFont="1" applyBorder="1" applyAlignment="1">
      <alignment horizontal="right"/>
    </xf>
    <xf numFmtId="167" fontId="7" fillId="2" borderId="28" xfId="10" applyNumberFormat="1" applyFont="1" applyBorder="1"/>
    <xf numFmtId="167" fontId="7" fillId="2" borderId="38" xfId="10" applyNumberFormat="1" applyFont="1" applyBorder="1"/>
    <xf numFmtId="37" fontId="4" fillId="2" borderId="28" xfId="10" applyNumberFormat="1" applyFont="1" applyBorder="1" applyAlignment="1">
      <alignment horizontal="center"/>
    </xf>
    <xf numFmtId="37" fontId="4" fillId="2" borderId="37" xfId="10" applyNumberFormat="1" applyFont="1" applyBorder="1" applyAlignment="1">
      <alignment horizontal="center"/>
    </xf>
    <xf numFmtId="37" fontId="4" fillId="2" borderId="38" xfId="10" applyNumberFormat="1" applyFont="1" applyBorder="1" applyAlignment="1">
      <alignment horizontal="center"/>
    </xf>
    <xf numFmtId="37" fontId="4" fillId="0" borderId="27" xfId="10" applyNumberFormat="1" applyFont="1" applyFill="1" applyBorder="1" applyAlignment="1">
      <alignment horizontal="center"/>
    </xf>
    <xf numFmtId="37" fontId="4" fillId="2" borderId="27" xfId="10" applyNumberFormat="1" applyFont="1" applyBorder="1" applyAlignment="1">
      <alignment horizontal="center"/>
    </xf>
    <xf numFmtId="37" fontId="4" fillId="2" borderId="39" xfId="10" applyNumberFormat="1" applyFont="1" applyBorder="1" applyAlignment="1">
      <alignment horizontal="center"/>
    </xf>
    <xf numFmtId="37" fontId="4" fillId="2" borderId="23" xfId="10" applyNumberFormat="1" applyFont="1" applyBorder="1" applyAlignment="1">
      <alignment horizontal="center"/>
    </xf>
    <xf numFmtId="37" fontId="4" fillId="2" borderId="40" xfId="10" applyNumberFormat="1" applyFont="1" applyBorder="1" applyAlignment="1">
      <alignment horizontal="center"/>
    </xf>
    <xf numFmtId="37" fontId="4" fillId="2" borderId="18" xfId="10" applyNumberFormat="1" applyFont="1" applyBorder="1" applyAlignment="1">
      <alignment horizontal="center"/>
    </xf>
    <xf numFmtId="37" fontId="4" fillId="2" borderId="1" xfId="10" applyNumberFormat="1" applyFont="1" applyBorder="1" applyAlignment="1">
      <alignment horizontal="center"/>
    </xf>
    <xf numFmtId="37" fontId="4" fillId="2" borderId="41" xfId="10" applyNumberFormat="1" applyFont="1" applyBorder="1" applyAlignment="1">
      <alignment horizontal="center"/>
    </xf>
    <xf numFmtId="167" fontId="7" fillId="2" borderId="28" xfId="9" applyNumberFormat="1" applyFont="1" applyBorder="1" applyAlignment="1">
      <alignment horizontal="right"/>
    </xf>
    <xf numFmtId="167" fontId="7" fillId="2" borderId="42" xfId="9" applyNumberFormat="1" applyFont="1" applyBorder="1" applyAlignment="1">
      <alignment horizontal="right"/>
    </xf>
    <xf numFmtId="37" fontId="4" fillId="2" borderId="8" xfId="9" applyNumberFormat="1" applyFont="1" applyBorder="1" applyAlignment="1">
      <alignment horizontal="center"/>
    </xf>
    <xf numFmtId="37" fontId="4" fillId="2" borderId="9" xfId="10" applyNumberFormat="1" applyFont="1" applyBorder="1" applyAlignment="1">
      <alignment horizontal="center"/>
    </xf>
    <xf numFmtId="37" fontId="4" fillId="2" borderId="14" xfId="9" applyNumberFormat="1" applyFont="1" applyBorder="1" applyAlignment="1">
      <alignment horizontal="center"/>
    </xf>
    <xf numFmtId="37" fontId="4" fillId="2" borderId="12" xfId="10" applyNumberFormat="1" applyFont="1" applyBorder="1" applyAlignment="1">
      <alignment horizontal="center"/>
    </xf>
    <xf numFmtId="167" fontId="7" fillId="0" borderId="28" xfId="10" applyNumberFormat="1" applyFont="1" applyFill="1" applyBorder="1"/>
    <xf numFmtId="167" fontId="7" fillId="0" borderId="38" xfId="10" applyNumberFormat="1" applyFont="1" applyFill="1" applyBorder="1"/>
    <xf numFmtId="37" fontId="7" fillId="2" borderId="28" xfId="9" applyNumberFormat="1" applyFont="1" applyBorder="1"/>
    <xf numFmtId="37" fontId="7" fillId="2" borderId="38" xfId="9" applyNumberFormat="1" applyFont="1" applyBorder="1"/>
    <xf numFmtId="37" fontId="5" fillId="2" borderId="43" xfId="9" applyNumberFormat="1" applyFont="1" applyBorder="1"/>
    <xf numFmtId="37" fontId="5" fillId="2" borderId="44" xfId="9" applyNumberFormat="1" applyFont="1" applyBorder="1"/>
    <xf numFmtId="37" fontId="5" fillId="2" borderId="28" xfId="9" applyNumberFormat="1" applyFont="1" applyBorder="1"/>
    <xf numFmtId="37" fontId="5" fillId="2" borderId="38" xfId="9" applyNumberFormat="1" applyFont="1" applyBorder="1"/>
    <xf numFmtId="167" fontId="7" fillId="0" borderId="28" xfId="9" applyNumberFormat="1" applyFont="1" applyFill="1" applyBorder="1" applyAlignment="1">
      <alignment horizontal="right"/>
    </xf>
    <xf numFmtId="167" fontId="7" fillId="0" borderId="42" xfId="9" applyNumberFormat="1" applyFont="1" applyFill="1" applyBorder="1" applyAlignment="1">
      <alignment horizontal="right"/>
    </xf>
    <xf numFmtId="167" fontId="7" fillId="2" borderId="43" xfId="9" applyNumberFormat="1" applyFont="1" applyBorder="1" applyAlignment="1">
      <alignment horizontal="right"/>
    </xf>
    <xf numFmtId="167" fontId="7" fillId="2" borderId="45" xfId="9" applyNumberFormat="1" applyFont="1" applyBorder="1" applyAlignment="1">
      <alignment horizontal="right"/>
    </xf>
    <xf numFmtId="37" fontId="7" fillId="0" borderId="28" xfId="9" applyNumberFormat="1" applyFont="1" applyFill="1" applyBorder="1"/>
    <xf numFmtId="37" fontId="7" fillId="0" borderId="38" xfId="9" applyNumberFormat="1" applyFont="1" applyFill="1" applyBorder="1"/>
    <xf numFmtId="37" fontId="7" fillId="2" borderId="26" xfId="9" applyNumberFormat="1" applyFont="1" applyBorder="1"/>
    <xf numFmtId="37" fontId="7" fillId="2" borderId="13" xfId="9" applyNumberFormat="1" applyFont="1" applyBorder="1"/>
    <xf numFmtId="37" fontId="5" fillId="0" borderId="26" xfId="9" applyNumberFormat="1" applyFont="1" applyFill="1" applyBorder="1"/>
    <xf numFmtId="37" fontId="5" fillId="0" borderId="13" xfId="9" applyNumberFormat="1" applyFont="1" applyFill="1" applyBorder="1"/>
    <xf numFmtId="167" fontId="7" fillId="2" borderId="11" xfId="9" applyNumberFormat="1" applyFont="1" applyBorder="1" applyAlignment="1">
      <alignment horizontal="right"/>
    </xf>
    <xf numFmtId="167" fontId="7" fillId="2" borderId="46" xfId="9" applyNumberFormat="1" applyFont="1" applyBorder="1" applyAlignment="1">
      <alignment horizontal="right"/>
    </xf>
    <xf numFmtId="167" fontId="7" fillId="2" borderId="14" xfId="9" applyNumberFormat="1" applyFont="1" applyBorder="1" applyAlignment="1">
      <alignment horizontal="right"/>
    </xf>
    <xf numFmtId="167" fontId="7" fillId="2" borderId="47" xfId="9" applyNumberFormat="1" applyFont="1" applyBorder="1" applyAlignment="1">
      <alignment horizontal="right"/>
    </xf>
    <xf numFmtId="9" fontId="5" fillId="0" borderId="37" xfId="1" applyFont="1" applyFill="1" applyBorder="1" applyProtection="1"/>
    <xf numFmtId="9" fontId="5" fillId="0" borderId="38" xfId="1" applyFont="1" applyFill="1" applyBorder="1" applyProtection="1"/>
    <xf numFmtId="0" fontId="6" fillId="0" borderId="2" xfId="7" applyFont="1" applyBorder="1" applyAlignment="1" applyProtection="1">
      <alignment horizontal="center"/>
      <protection locked="0"/>
    </xf>
    <xf numFmtId="167" fontId="7" fillId="2" borderId="38" xfId="9" applyNumberFormat="1" applyFont="1" applyBorder="1" applyAlignment="1">
      <alignment horizontal="right"/>
    </xf>
    <xf numFmtId="37" fontId="4" fillId="2" borderId="11" xfId="9" applyNumberFormat="1" applyFont="1" applyBorder="1" applyAlignment="1">
      <alignment horizontal="center"/>
    </xf>
    <xf numFmtId="37" fontId="4" fillId="2" borderId="46" xfId="9" applyNumberFormat="1" applyFont="1" applyBorder="1" applyAlignment="1">
      <alignment horizontal="center"/>
    </xf>
    <xf numFmtId="37" fontId="4" fillId="2" borderId="33" xfId="9" applyNumberFormat="1" applyFont="1" applyBorder="1" applyAlignment="1">
      <alignment horizontal="center"/>
    </xf>
    <xf numFmtId="37" fontId="4" fillId="2" borderId="47" xfId="9" applyNumberFormat="1" applyFont="1" applyBorder="1" applyAlignment="1">
      <alignment horizontal="center"/>
    </xf>
    <xf numFmtId="167" fontId="7" fillId="2" borderId="7" xfId="9" applyNumberFormat="1" applyFont="1" applyBorder="1" applyAlignment="1">
      <alignment horizontal="right"/>
    </xf>
    <xf numFmtId="167" fontId="7" fillId="2" borderId="12" xfId="9" applyNumberFormat="1" applyFont="1" applyBorder="1" applyAlignment="1">
      <alignment horizontal="right"/>
    </xf>
    <xf numFmtId="37" fontId="4" fillId="2" borderId="7" xfId="9" applyNumberFormat="1" applyFont="1" applyBorder="1" applyAlignment="1">
      <alignment horizontal="center"/>
    </xf>
    <xf numFmtId="37" fontId="4" fillId="2" borderId="14" xfId="9" applyNumberFormat="1" applyFont="1" applyBorder="1"/>
    <xf numFmtId="37" fontId="4" fillId="2" borderId="12" xfId="9" applyNumberFormat="1" applyFont="1" applyBorder="1"/>
    <xf numFmtId="37" fontId="7" fillId="2" borderId="11" xfId="9" applyNumberFormat="1" applyFont="1" applyBorder="1"/>
    <xf numFmtId="37" fontId="7" fillId="2" borderId="7" xfId="9" applyNumberFormat="1" applyFont="1" applyBorder="1"/>
    <xf numFmtId="37" fontId="7" fillId="2" borderId="14" xfId="9" applyNumberFormat="1" applyFont="1" applyBorder="1"/>
    <xf numFmtId="37" fontId="7" fillId="2" borderId="12" xfId="9" applyNumberFormat="1" applyFont="1" applyBorder="1"/>
    <xf numFmtId="37" fontId="7" fillId="0" borderId="26" xfId="9" applyNumberFormat="1" applyFont="1" applyFill="1" applyBorder="1"/>
    <xf numFmtId="0" fontId="23" fillId="0" borderId="13" xfId="7" applyBorder="1"/>
    <xf numFmtId="0" fontId="10" fillId="2" borderId="13" xfId="7" applyFont="1" applyFill="1" applyBorder="1"/>
    <xf numFmtId="166" fontId="7" fillId="2" borderId="48" xfId="9" applyNumberFormat="1" applyFont="1" applyBorder="1"/>
    <xf numFmtId="166" fontId="7" fillId="2" borderId="49" xfId="9" applyNumberFormat="1" applyFont="1" applyBorder="1"/>
    <xf numFmtId="166" fontId="7" fillId="2" borderId="50" xfId="9" applyNumberFormat="1" applyFont="1" applyBorder="1"/>
    <xf numFmtId="0" fontId="6" fillId="2" borderId="28" xfId="10" applyFont="1" applyBorder="1" applyAlignment="1">
      <alignment horizontal="center"/>
    </xf>
    <xf numFmtId="0" fontId="6" fillId="2" borderId="37" xfId="10" applyFont="1" applyBorder="1" applyAlignment="1">
      <alignment horizontal="center"/>
    </xf>
    <xf numFmtId="0" fontId="6" fillId="2" borderId="38" xfId="10" applyFont="1" applyBorder="1" applyAlignment="1">
      <alignment horizontal="center"/>
    </xf>
    <xf numFmtId="37" fontId="11" fillId="2" borderId="0" xfId="9" applyNumberFormat="1" applyFont="1" applyAlignment="1">
      <alignment horizontal="left" vertical="center"/>
    </xf>
    <xf numFmtId="0" fontId="23" fillId="0" borderId="0" xfId="7"/>
    <xf numFmtId="37" fontId="11" fillId="2" borderId="2" xfId="9" applyNumberFormat="1" applyFont="1" applyBorder="1" applyAlignment="1">
      <alignment horizontal="left" vertical="center"/>
    </xf>
    <xf numFmtId="0" fontId="23" fillId="0" borderId="2" xfId="7" applyBorder="1"/>
    <xf numFmtId="37" fontId="4" fillId="2" borderId="25" xfId="9" applyNumberFormat="1" applyFont="1" applyBorder="1" applyAlignment="1">
      <alignment horizontal="left" vertical="center" wrapText="1"/>
    </xf>
    <xf numFmtId="37" fontId="4" fillId="2" borderId="0" xfId="9" applyNumberFormat="1" applyFont="1" applyAlignment="1">
      <alignment horizontal="left" vertical="center" wrapText="1"/>
    </xf>
    <xf numFmtId="37" fontId="4" fillId="2" borderId="9" xfId="9" applyNumberFormat="1" applyFont="1" applyBorder="1" applyAlignment="1">
      <alignment horizontal="left" vertical="center" wrapText="1"/>
    </xf>
    <xf numFmtId="166" fontId="7" fillId="2" borderId="17" xfId="9" applyNumberFormat="1" applyFont="1" applyBorder="1"/>
    <xf numFmtId="166" fontId="7" fillId="2" borderId="51" xfId="9" applyNumberFormat="1" applyFont="1" applyBorder="1"/>
    <xf numFmtId="166" fontId="7" fillId="2" borderId="52" xfId="9" applyNumberFormat="1" applyFont="1" applyBorder="1"/>
    <xf numFmtId="166" fontId="7" fillId="2" borderId="53" xfId="9" applyNumberFormat="1" applyFont="1" applyBorder="1"/>
    <xf numFmtId="166" fontId="7" fillId="2" borderId="19" xfId="9" applyNumberFormat="1" applyFont="1" applyBorder="1"/>
    <xf numFmtId="166" fontId="7" fillId="2" borderId="54" xfId="9" applyNumberFormat="1" applyFont="1" applyBorder="1"/>
    <xf numFmtId="0" fontId="5" fillId="2" borderId="8" xfId="9" applyFont="1" applyBorder="1" applyAlignment="1">
      <alignment horizontal="left" wrapText="1"/>
    </xf>
    <xf numFmtId="0" fontId="5" fillId="2" borderId="0" xfId="9" applyFont="1" applyAlignment="1">
      <alignment horizontal="left" wrapText="1"/>
    </xf>
    <xf numFmtId="0" fontId="5" fillId="2" borderId="9" xfId="9" applyFont="1" applyBorder="1" applyAlignment="1">
      <alignment horizontal="left" wrapText="1"/>
    </xf>
    <xf numFmtId="0" fontId="5" fillId="2" borderId="14" xfId="9" applyFont="1" applyBorder="1" applyAlignment="1">
      <alignment horizontal="left" wrapText="1"/>
    </xf>
    <xf numFmtId="0" fontId="5" fillId="2" borderId="3" xfId="9" applyFont="1" applyBorder="1" applyAlignment="1">
      <alignment horizontal="left" wrapText="1"/>
    </xf>
    <xf numFmtId="0" fontId="5" fillId="2" borderId="12" xfId="9" applyFont="1" applyBorder="1" applyAlignment="1">
      <alignment horizontal="left" wrapText="1"/>
    </xf>
    <xf numFmtId="0" fontId="5" fillId="0" borderId="4" xfId="7" applyFont="1" applyBorder="1" applyAlignment="1">
      <alignment horizontal="left" vertical="top" wrapText="1"/>
    </xf>
    <xf numFmtId="0" fontId="5" fillId="0" borderId="5" xfId="7" applyFont="1" applyBorder="1" applyAlignment="1">
      <alignment horizontal="left" vertical="top" wrapText="1"/>
    </xf>
    <xf numFmtId="0" fontId="5" fillId="0" borderId="15" xfId="7" applyFont="1" applyBorder="1" applyAlignment="1">
      <alignment horizontal="left" vertical="top" wrapText="1"/>
    </xf>
    <xf numFmtId="0" fontId="5" fillId="0" borderId="25" xfId="7" applyFont="1" applyBorder="1" applyAlignment="1">
      <alignment horizontal="left" vertical="top" wrapText="1"/>
    </xf>
    <xf numFmtId="0" fontId="5" fillId="0" borderId="0" xfId="7" applyFont="1" applyAlignment="1">
      <alignment horizontal="left" vertical="top" wrapText="1"/>
    </xf>
    <xf numFmtId="0" fontId="5" fillId="0" borderId="33" xfId="7" applyFont="1" applyBorder="1" applyAlignment="1">
      <alignment horizontal="left" vertical="top" wrapText="1"/>
    </xf>
    <xf numFmtId="0" fontId="5" fillId="0" borderId="29" xfId="7" applyFont="1" applyBorder="1" applyAlignment="1">
      <alignment horizontal="left" vertical="top" wrapText="1"/>
    </xf>
    <xf numFmtId="0" fontId="5" fillId="0" borderId="2" xfId="7" applyFont="1" applyBorder="1" applyAlignment="1">
      <alignment horizontal="left" vertical="top" wrapText="1"/>
    </xf>
    <xf numFmtId="0" fontId="5" fillId="0" borderId="16" xfId="7" applyFont="1" applyBorder="1" applyAlignment="1">
      <alignment horizontal="left" vertical="top" wrapText="1"/>
    </xf>
    <xf numFmtId="0" fontId="23" fillId="0" borderId="0" xfId="7" applyAlignment="1">
      <alignment vertical="center" wrapText="1"/>
    </xf>
    <xf numFmtId="0" fontId="6" fillId="0" borderId="0" xfId="7" applyFont="1"/>
    <xf numFmtId="0" fontId="5" fillId="2" borderId="2" xfId="9" applyFont="1" applyBorder="1" applyAlignment="1" applyProtection="1">
      <alignment horizontal="center"/>
      <protection locked="0"/>
    </xf>
    <xf numFmtId="0" fontId="23" fillId="0" borderId="0" xfId="7" applyAlignment="1">
      <alignment vertical="top" wrapText="1"/>
    </xf>
    <xf numFmtId="0" fontId="23" fillId="0" borderId="0" xfId="7" applyAlignment="1">
      <alignment horizontal="left"/>
    </xf>
    <xf numFmtId="0" fontId="23" fillId="0" borderId="18" xfId="7" applyBorder="1" applyAlignment="1" applyProtection="1">
      <alignment horizontal="left" vertical="top" wrapText="1"/>
      <protection locked="0"/>
    </xf>
    <xf numFmtId="0" fontId="23" fillId="0" borderId="1" xfId="7" applyBorder="1" applyAlignment="1" applyProtection="1">
      <alignment horizontal="left" vertical="top" wrapText="1"/>
      <protection locked="0"/>
    </xf>
    <xf numFmtId="0" fontId="23" fillId="0" borderId="41" xfId="7" applyBorder="1" applyAlignment="1" applyProtection="1">
      <alignment horizontal="left" vertical="top" wrapText="1"/>
      <protection locked="0"/>
    </xf>
    <xf numFmtId="37" fontId="4" fillId="2" borderId="0" xfId="9" applyNumberFormat="1" applyFont="1" applyAlignment="1">
      <alignment horizontal="center"/>
    </xf>
    <xf numFmtId="0" fontId="23" fillId="0" borderId="2" xfId="7" applyBorder="1" applyAlignment="1" applyProtection="1">
      <alignment horizontal="left"/>
      <protection locked="0"/>
    </xf>
    <xf numFmtId="0" fontId="23" fillId="0" borderId="1" xfId="7" applyBorder="1" applyAlignment="1" applyProtection="1">
      <alignment horizontal="left"/>
      <protection locked="0"/>
    </xf>
    <xf numFmtId="14" fontId="23" fillId="0" borderId="2" xfId="7" applyNumberFormat="1" applyBorder="1" applyAlignment="1" applyProtection="1">
      <alignment horizontal="center"/>
      <protection locked="0"/>
    </xf>
    <xf numFmtId="164" fontId="23" fillId="0" borderId="2" xfId="7" applyNumberFormat="1" applyBorder="1" applyAlignment="1" applyProtection="1">
      <alignment horizontal="center"/>
      <protection locked="0"/>
    </xf>
    <xf numFmtId="0" fontId="23" fillId="0" borderId="0" xfId="7" applyAlignment="1">
      <alignment horizontal="center"/>
    </xf>
    <xf numFmtId="0" fontId="23" fillId="0" borderId="2" xfId="7" applyBorder="1" applyAlignment="1" applyProtection="1">
      <alignment horizontal="center"/>
      <protection locked="0"/>
    </xf>
    <xf numFmtId="0" fontId="6" fillId="0" borderId="2" xfId="9" applyFont="1" applyFill="1" applyBorder="1" applyAlignment="1" applyProtection="1">
      <alignment horizontal="center"/>
      <protection locked="0"/>
    </xf>
    <xf numFmtId="0" fontId="23" fillId="0" borderId="1" xfId="7" applyBorder="1" applyAlignment="1" applyProtection="1">
      <alignment horizontal="center"/>
      <protection locked="0"/>
    </xf>
    <xf numFmtId="37" fontId="4" fillId="2" borderId="8" xfId="9" applyNumberFormat="1" applyFont="1" applyBorder="1" applyAlignment="1">
      <alignment horizontal="center" vertical="center"/>
    </xf>
    <xf numFmtId="37" fontId="4" fillId="2" borderId="14" xfId="9" applyNumberFormat="1" applyFont="1" applyBorder="1" applyAlignment="1">
      <alignment horizontal="center" vertical="center"/>
    </xf>
    <xf numFmtId="0" fontId="23" fillId="0" borderId="0" xfId="7" applyAlignment="1">
      <alignment horizontal="left" vertical="center" wrapText="1"/>
    </xf>
    <xf numFmtId="0" fontId="6" fillId="2" borderId="2" xfId="9" applyFont="1" applyBorder="1" applyAlignment="1" applyProtection="1">
      <alignment horizontal="center"/>
      <protection locked="0"/>
    </xf>
    <xf numFmtId="0" fontId="6" fillId="0" borderId="0" xfId="0" applyFont="1" applyAlignment="1">
      <alignment horizontal="left"/>
    </xf>
    <xf numFmtId="49" fontId="5" fillId="2" borderId="2" xfId="9" applyNumberFormat="1" applyFont="1" applyBorder="1" applyAlignment="1">
      <alignment horizontal="center"/>
    </xf>
    <xf numFmtId="0" fontId="5" fillId="0" borderId="2" xfId="7" applyFont="1" applyBorder="1" applyAlignment="1">
      <alignment horizontal="center" wrapText="1"/>
    </xf>
    <xf numFmtId="37" fontId="4" fillId="2" borderId="5" xfId="9" applyNumberFormat="1" applyFont="1" applyBorder="1" applyAlignment="1">
      <alignment horizontal="center"/>
    </xf>
    <xf numFmtId="38" fontId="5" fillId="0" borderId="3" xfId="0" applyNumberFormat="1" applyFont="1" applyBorder="1"/>
    <xf numFmtId="38" fontId="5" fillId="0" borderId="12" xfId="0" applyNumberFormat="1" applyFont="1" applyBorder="1"/>
    <xf numFmtId="38" fontId="5" fillId="0" borderId="37" xfId="0" applyNumberFormat="1" applyFont="1" applyBorder="1"/>
    <xf numFmtId="38" fontId="5" fillId="0" borderId="38" xfId="0" applyNumberFormat="1" applyFont="1" applyBorder="1"/>
    <xf numFmtId="37" fontId="5" fillId="0" borderId="37" xfId="0" applyNumberFormat="1" applyFont="1" applyBorder="1"/>
    <xf numFmtId="37" fontId="5" fillId="0" borderId="38" xfId="0" applyNumberFormat="1" applyFont="1" applyBorder="1"/>
    <xf numFmtId="0" fontId="0" fillId="0" borderId="2" xfId="7" applyFont="1" applyBorder="1" applyAlignment="1" applyProtection="1">
      <alignment horizontal="left"/>
      <protection locked="0"/>
    </xf>
    <xf numFmtId="0" fontId="0" fillId="0" borderId="1" xfId="7" applyFont="1" applyBorder="1" applyAlignment="1" applyProtection="1">
      <alignment horizontal="left"/>
      <protection locked="0"/>
    </xf>
    <xf numFmtId="0" fontId="0" fillId="0" borderId="2" xfId="7" applyFont="1" applyBorder="1" applyAlignment="1" applyProtection="1">
      <alignment horizontal="center"/>
      <protection locked="0"/>
    </xf>
    <xf numFmtId="0" fontId="0" fillId="0" borderId="1" xfId="7" applyFont="1" applyBorder="1" applyAlignment="1" applyProtection="1">
      <alignment horizontal="center"/>
      <protection locked="0"/>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2" xfId="7" xr:uid="{00000000-0005-0000-0000-000007000000}"/>
    <cellStyle name="Normal_98-99Smry" xfId="8" xr:uid="{00000000-0005-0000-0000-000008000000}"/>
    <cellStyle name="Normal_Summary Page 1" xfId="9" xr:uid="{00000000-0005-0000-0000-000009000000}"/>
    <cellStyle name="Normal_Summary Page 2" xfId="10" xr:uid="{00000000-0005-0000-0000-00000A000000}"/>
    <cellStyle name="Percent"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EXPB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istrict Contacts"/>
      <sheetName val="Page 1"/>
      <sheetName val="Page 2"/>
      <sheetName val="Page 3"/>
      <sheetName val="Page 4"/>
      <sheetName val="Page 5"/>
      <sheetName val="Page 6"/>
      <sheetName val="Page 7"/>
      <sheetName val="Page 8"/>
      <sheetName val="Supplement"/>
      <sheetName val="Summary Page 1"/>
      <sheetName val="Summary Page 2"/>
      <sheetName val="Truth in Tax"/>
      <sheetName val="Fund balances"/>
      <sheetName val="Data Entry"/>
      <sheetName val="Calculations"/>
      <sheetName val="BSA55"/>
      <sheetName val="Instructions"/>
    </sheetNames>
    <definedNames>
      <definedName name="BudgetYearADM" refersTo="='Summary Page 1'!$D$12"/>
      <definedName name="BudgetYearSalarySumm" refersTo="='Summary Page 1'!$I$10"/>
      <definedName name="ContractFTEAdmin" refersTo="='Summary Page 2'!$D$38"/>
      <definedName name="ContractFTECertOther" refersTo="='Summary Page 2'!$D$40"/>
      <definedName name="ContractFTECertSubtotal" refersTo="='Summary Page 2'!$D$41"/>
      <definedName name="ContractFTEClassOther" refersTo="='Summary Page 2'!$D$45"/>
      <definedName name="ContractFTEClassSubtotal" refersTo="='Summary Page 2'!$D$46"/>
      <definedName name="ContractFTEManagers" refersTo="='Summary Page 2'!$D$43"/>
      <definedName name="ContractFTESpecEdStaff" refersTo="='Summary Page 2'!$D$51"/>
      <definedName name="ContractFTESpecEdTeacher" refersTo="='Summary Page 2'!$D$50"/>
      <definedName name="ContractFTETeachers" refersTo="='Summary Page 2'!$D$39"/>
      <definedName name="ContractFTETeachersAids" refersTo="='Summary Page 2'!$D$44"/>
      <definedName name="ContractFTETotal" refersTo="='Summary Page 2'!$D$47"/>
      <definedName name="CSFBLBudgFYSumm" refersTo="='Summary Page 1'!$D$23"/>
      <definedName name="CSFExpBudgFYSumm" refersTo="='Summary Page 1'!$C$23"/>
      <definedName name="EmployeeFTEAdmin" refersTo="='Summary Page 2'!$E$38"/>
      <definedName name="EmployeeFTECertOther" refersTo="='Summary Page 2'!$E$40"/>
      <definedName name="EmployeeFTECertSubtotal" refersTo="='Summary Page 2'!$E$41"/>
      <definedName name="EmployeeFTEClassOther" refersTo="='Summary Page 2'!$E$45"/>
      <definedName name="EmployeeFTEClassSubtotal" refersTo="='Summary Page 2'!$E$46"/>
      <definedName name="EmployeeFTEManagers" refersTo="='Summary Page 2'!$E$43"/>
      <definedName name="EmployeeFTESpecEdStaff" refersTo="='Summary Page 2'!$E$51"/>
      <definedName name="EmployeeFTESpecEdTeacher" refersTo="='Summary Page 2'!$E$50"/>
      <definedName name="EmployeeFTETeachers" refersTo="='Summary Page 2'!$E$39"/>
      <definedName name="EmployeeFTETeachersAides" refersTo="='Summary Page 2'!$E$44"/>
      <definedName name="EmployeeFTETotal" refersTo="='Summary Page 2'!$E$47"/>
      <definedName name="EstTaxRateBudgFYSumm" refersTo="='Summary Page 1'!$D$16"/>
      <definedName name="F001P100F1000OthBudgFY" refersTo="='Summary Page 1'!$F$33"/>
      <definedName name="F001P100F1000SBBudgFY" refersTo="='Summary Page 1'!$D$33"/>
      <definedName name="F001P100F2100OthBudgFY" refersTo="='Summary Page 1'!$F$35"/>
      <definedName name="F001P100F2100SBBudgFY" refersTo="='Summary Page 1'!$D$35"/>
      <definedName name="F001P100F2200OthBudgFY" refersTo="='Summary Page 1'!$F$36"/>
      <definedName name="F001P100F2200SBBudgFY" refersTo="='Summary Page 1'!$D$36"/>
      <definedName name="F001P100F230024002500OthBudgFY" refersTo="='Summary Page 1'!$F$37"/>
      <definedName name="F001P100F230024002500SBBudgFY" refersTo="='Summary Page 1'!$D$37"/>
      <definedName name="F001P100F2600OthBudgFY" refersTo="='Summary Page 1'!$F$38"/>
      <definedName name="F001P100F2600SBBudgFY" refersTo="='Summary Page 1'!$D$38"/>
      <definedName name="F001P100F2900OthBudgFY" refersTo="='Summary Page 1'!$F$39"/>
      <definedName name="F001P100F2900SBBudgFY" refersTo="='Summary Page 1'!$D$39"/>
      <definedName name="F001P100F3000OthBudgFY" refersTo="='Summary Page 1'!$F$40"/>
      <definedName name="F001P100F3000SBBudgFY" refersTo="='Summary Page 1'!$D$40"/>
      <definedName name="F001P200F1000OthBudgFY" refersTo="='Summary Page 1'!$F$46"/>
      <definedName name="F001P200F1000SBBudgFY" refersTo="='Summary Page 1'!$D$46"/>
      <definedName name="F001P200F2100OthBudgFY" refersTo="='Summary Page 1'!$F$48"/>
      <definedName name="F001P200F2100SBBudgFY" refersTo="='Summary Page 1'!$D$48"/>
      <definedName name="F001P200F2200OthBudgFY" refersTo="='Summary Page 1'!$F$49"/>
      <definedName name="F001P200F2200SBBudgFY" refersTo="='Summary Page 1'!$D$49"/>
      <definedName name="F001P200F230024002500OthBudgFY" refersTo="='Summary Page 1'!$F$50"/>
      <definedName name="F001P200F230024002500SBBudgFY" refersTo="='Summary Page 1'!$D$50"/>
      <definedName name="F001P200F2600OthBudgFY" refersTo="='Summary Page 1'!$F$51"/>
      <definedName name="F001P200F2600SBBudgFY" refersTo="='Summary Page 1'!$D$51"/>
      <definedName name="F001P200F2900OthBudgFY" refersTo="='Summary Page 1'!$F$52"/>
      <definedName name="F001P200F2900SBBudgFY" refersTo="='Summary Page 1'!$D$52"/>
      <definedName name="F001P200F3000OthBudgFY" refersTo="='Summary Page 1'!$F$53"/>
      <definedName name="F001P200F3000SBBudgFY" refersTo="='Summary Page 1'!$D$53"/>
      <definedName name="F001P400OthBudgFy" refersTo="='Summary Page 1'!$F$55"/>
      <definedName name="F001P400SBBudgFY" refersTo="='Summary Page 1'!$D$55"/>
      <definedName name="F001P510OthBudgFY" refersTo="='Summary Page 1'!$F$56"/>
      <definedName name="F001P510SBBudgFY" refersTo="='Summary Page 1'!$D$56"/>
      <definedName name="F001P530OthBudgFY" refersTo="='Summary Page 1'!$F$57"/>
      <definedName name="F001P530SBBudgFY" refersTo="='Summary Page 1'!$D$57"/>
      <definedName name="F001P540OthBudgFY" refersTo="='Summary Page 1'!$F$59"/>
      <definedName name="F001P540SBBudgFY" refersTo="='Summary Page 1'!$D$59"/>
      <definedName name="F001P550OthBudgFY" refersTo="='Summary Page 1'!$F$60"/>
      <definedName name="F001P550SBBudgFY" refersTo="='Summary Page 1'!$D$60"/>
      <definedName name="F001P610OthBudgFY" refersTo="='Summary Page 1'!$F$41"/>
      <definedName name="F001P610SBBudgFY" refersTo="='Summary Page 1'!$D$41"/>
      <definedName name="F001P620OthBudgFY" refersTo="='Summary Page 1'!$F$42"/>
      <definedName name="F001P620SBBudgFY" refersTo="='Summary Page 1'!$D$42"/>
      <definedName name="F001P630700800900OthBudgFY" refersTo="='Summary Page 1'!$F$43"/>
      <definedName name="F001P630700800900SBBudgFY" refersTo="='Summary Page 1'!$D$43"/>
      <definedName name="F001TotalExpSumm" refersTo="='Summary Page 1'!$C$22"/>
      <definedName name="GBLBudgFYSumm" refersTo="='Summary Page 1'!$D$22"/>
      <definedName name="PercentageIncreaseSumm" refersTo="='Summary Page 1'!$I$13"/>
      <definedName name="PrimTaxRatePYSumm" refersTo="='Summary Page 1'!$C$16"/>
      <definedName name="PriorYearADM" refersTo="='Summary Page 1'!$C$12"/>
      <definedName name="PriorYearSalarySumm" refersTo="='Summary Page 1'!$I$11"/>
      <definedName name="RatioAdmin" refersTo="='Summary Page 2'!$H$38"/>
      <definedName name="RatioCertOther" refersTo="='Summary Page 2'!$H$40"/>
      <definedName name="RatioCertSubtotal" refersTo="='Summary Page 2'!$H$41"/>
      <definedName name="RatioClassOther" refersTo="='Summary Page 2'!$H$45"/>
      <definedName name="RatioClassSubtotal" refersTo="='Summary Page 2'!$H$46"/>
      <definedName name="RatioManagers" refersTo="='Summary Page 2'!$H$43"/>
      <definedName name="RatioTeachers" refersTo="='Summary Page 2'!$H$39"/>
      <definedName name="RatioTeachersAides" refersTo="='Summary Page 2'!$H$44"/>
      <definedName name="RatioTotal" refersTo="='Summary Page 2'!$H$47"/>
      <definedName name="SalaryCommentsSumm" refersTo="='Summary Page 1'!$E$15"/>
      <definedName name="SalaryIncreaseSumm" refersTo="='Summary Page 1'!$I$12"/>
      <definedName name="SecTaxRateBudgFYSumm" refersTo="='Summary Page 1'!$D$19"/>
      <definedName name="SecTaxRatePYSumm" refersTo="='Summary Page 1'!$C$19"/>
      <definedName name="SPEDELLCompInstrCurrFY" refersTo="='Page 2'!$F$11"/>
      <definedName name="SPEDStaff" refersTo="='Summary Page 2'!$H$51"/>
      <definedName name="SPEDTeacher" refersTo="='Summary Page 2'!$H$50"/>
      <definedName name="SumDebtServiceBY" refersTo="='Summary Page 2'!$D$16"/>
      <definedName name="SummAdjacentWaysBY" refersTo="='Summary Page 2'!$D$15"/>
      <definedName name="SummAdjacentWaysPY" refersTo="='Summary Page 2'!$C$15"/>
      <definedName name="SummAllDisabilityBY" refersTo="='Summary Page 2'!$E$25"/>
      <definedName name="SummAllDisabilityPY" refersTo="='Summary Page 2'!$D$25"/>
      <definedName name="SummAuxOpsBY" refersTo="='Summary Page 2'!$D$18"/>
      <definedName name="SummAuxOpsPY" refersTo="='Summary Page 2'!$C$18"/>
      <definedName name="SummBondBuildingBY" refersTo="='Summary Page 2'!$D$19"/>
      <definedName name="SummBondBuildingPY" refersTo="='Summary Page 2'!$C$19"/>
      <definedName name="SummCareerEdBY" refersTo="='Summary Page 2'!$E$31"/>
      <definedName name="SummCareerEdPY" refersTo="='Summary Page 2'!$D$31"/>
      <definedName name="SummCompInstrBY" refersTo="='Summary Page 2'!$D$9"/>
      <definedName name="SummCompInstrPY" refersTo="='Summary Page 2'!$C$9"/>
      <definedName name="SummCSFBY" refersTo="='Summary Page 2'!$D$10"/>
      <definedName name="SummCSFPY" refersTo="='Summary Page 2'!$C$10"/>
      <definedName name="SummCTEDBY" refersTo="='Summary Page 2'!$E$32"/>
      <definedName name="SummCTEDPY" refersTo="='Summary Page 2'!$D$32"/>
      <definedName name="SummDebtServicePY" refersTo="='Summary Page 2'!$C$16"/>
      <definedName name="SummELLBY" refersTo="='Summary Page 2'!$D$8"/>
      <definedName name="SummELLCompInstBY" refersTo="='Summary Page 2'!$E$29"/>
      <definedName name="SummELLIncrementalBY" refersTo="='Summary Page 2'!$E$28"/>
      <definedName name="SummELLIncrementalPY" refersTo="='Summary Page 2'!$D$28"/>
      <definedName name="SummELLPY" refersTo="='Summary Page 2'!$C$8"/>
      <definedName name="SummFedProjectsBY" refersTo="='Summary Page 2'!$D$11"/>
      <definedName name="SummFedProjectsPY" refersTo="='Summary Page 2'!$C$11"/>
      <definedName name="SummFoodServiceBY" refersTo="='Summary Page 2'!$D$20"/>
      <definedName name="SummFoodServicePY" refersTo="='Summary Page 2'!$C$20"/>
      <definedName name="SummGiftedBY" refersTo="='Summary Page 2'!$E$26"/>
      <definedName name="SummGiftedPY" refersTo="='Summary Page 2'!$D$26"/>
      <definedName name="SummInstImprovBY" refersTo="='Summary Page 2'!$D$7"/>
      <definedName name="SummInstImprovPY" refersTo="='Summary Page 2'!$C$7"/>
      <definedName name="SummMOBY" refersTo="='Summary Page 2'!$D$6"/>
      <definedName name="SummMOPY" refersTo="='Summary Page 2'!$C$6"/>
      <definedName name="SummNSFBY" refersTo="='Summary Page 2'!$D$14"/>
      <definedName name="SummNSFPY" refersTo="='Summary Page 2'!$C$14"/>
      <definedName name="SummOtherBY" refersTo="='Summary Page 2'!$D$21"/>
      <definedName name="SummOtherPY" refersTo="='Summary Page 2'!$C$21"/>
      <definedName name="SummRemedialBY" refersTo="='Summary Page 2'!$E$27"/>
      <definedName name="SummRemedialPY" refersTo="='Summary Page 2'!$D$27"/>
      <definedName name="SummSchoolPlantBY" refersTo="='Summary Page 2'!$D$17"/>
      <definedName name="SummSchoolPlantPY" refersTo="='Summary Page 2'!$C$17"/>
      <definedName name="SummSpecEdTotalBY" refersTo="='Summary Page 2'!$E$33"/>
      <definedName name="SummSpecEdTotalPY" refersTo="='Summary Page 2'!$D$33"/>
      <definedName name="SummStateProjectsBY" refersTo="='Summary Page 2'!$D$12"/>
      <definedName name="SummStateProjectsPY" refersTo="='Summary Page 2'!$C$12"/>
      <definedName name="SummUCOBY" refersTo="='Summary Page 2'!$D$13"/>
      <definedName name="SummUCOPY" refersTo="='Summary Page 2'!$C$13"/>
      <definedName name="SummVocandTechEdBY" refersTo="='Summary Page 2'!$E$30"/>
      <definedName name="SummVocandTechEdPY" refersTo="='Summary Page 2'!$D$30"/>
      <definedName name="TotalFTEAdmin" refersTo="='Summary Page 2'!$F$38"/>
      <definedName name="TotalFTECertOther" refersTo="='Summary Page 2'!$F$40"/>
      <definedName name="TotalFTECertSubtotal" refersTo="='Summary Page 2'!$F$41"/>
      <definedName name="TotalFTEClassOther" refersTo="='Summary Page 2'!$F$45"/>
      <definedName name="TotalFTEClassSubtotal" refersTo="='Summary Page 2'!$F$46"/>
      <definedName name="TotalFTEManagers" refersTo="='Summary Page 2'!$F$43"/>
      <definedName name="TotalFTESpecEdStaff" refersTo="='Summary Page 2'!$F$51"/>
      <definedName name="TotalFTESpecEdTeacher" refersTo="='Summary Page 2'!$F$50"/>
      <definedName name="TotalFTETeachers" refersTo="='Summary Page 2'!$F$39"/>
      <definedName name="TotalFTETeachersAides" refersTo="='Summary Page 2'!$F$44"/>
      <definedName name="TotalFTETotal" refersTo="='Summary Page 2'!$F$47"/>
      <definedName name="TwoPriorYearADM" refersTo="='Summary Page 1'!$B$12"/>
      <definedName name="UCBLBudgFYSumm" refersTo="='Summary Page 1'!$D$24"/>
      <definedName name="UCOBudgFYSumm" refersTo="='Summary Page 1'!$C$24"/>
    </definedNames>
    <sheetDataSet>
      <sheetData sheetId="0">
        <row r="1">
          <cell r="C1" t="str">
            <v>Flagstaff Unified School District #1</v>
          </cell>
        </row>
        <row r="8">
          <cell r="C8" t="str">
            <v>Proposed</v>
          </cell>
        </row>
        <row r="9">
          <cell r="C9" t="str">
            <v>Version</v>
          </cell>
        </row>
        <row r="13">
          <cell r="C13" t="str">
            <v xml:space="preserve">     Proposed</v>
          </cell>
        </row>
        <row r="14">
          <cell r="C14" t="str">
            <v xml:space="preserve">     Adopted</v>
          </cell>
        </row>
        <row r="15">
          <cell r="C15" t="str">
            <v xml:space="preserve">     Revised</v>
          </cell>
        </row>
        <row r="33">
          <cell r="F33" t="str">
            <v>Business Manager signature</v>
          </cell>
        </row>
        <row r="35">
          <cell r="F35" t="str">
            <v>Ginger L Stevens</v>
          </cell>
        </row>
        <row r="36">
          <cell r="F36" t="str">
            <v>Business Manager name (typed name)</v>
          </cell>
        </row>
        <row r="38">
          <cell r="D38" t="str">
            <v>Ginger L Stevens</v>
          </cell>
        </row>
        <row r="40">
          <cell r="F40" t="str">
            <v>Email:</v>
          </cell>
        </row>
      </sheetData>
      <sheetData sheetId="1">
        <row r="6">
          <cell r="C6" t="str">
            <v>Mr.</v>
          </cell>
          <cell r="D6" t="str">
            <v>Michael</v>
          </cell>
        </row>
        <row r="7">
          <cell r="C7" t="str">
            <v>Mr.</v>
          </cell>
          <cell r="D7" t="str">
            <v>Kurt</v>
          </cell>
        </row>
        <row r="8">
          <cell r="C8" t="str">
            <v>Ms.</v>
          </cell>
          <cell r="D8" t="str">
            <v>Ginger</v>
          </cell>
        </row>
        <row r="9">
          <cell r="C9" t="str">
            <v>Ms.</v>
          </cell>
          <cell r="D9" t="str">
            <v>Ginger</v>
          </cell>
        </row>
        <row r="12">
          <cell r="C12" t="str">
            <v>Ms.</v>
          </cell>
          <cell r="D12" t="str">
            <v>Kathia</v>
          </cell>
        </row>
        <row r="13">
          <cell r="C13" t="str">
            <v>Ms.</v>
          </cell>
          <cell r="D13" t="str">
            <v>Debbie</v>
          </cell>
        </row>
        <row r="14">
          <cell r="C14" t="str">
            <v>Ms.</v>
          </cell>
          <cell r="D14" t="str">
            <v>Lynette</v>
          </cell>
        </row>
        <row r="15">
          <cell r="C15" t="str">
            <v>Mr.</v>
          </cell>
          <cell r="D15" t="str">
            <v>Patrick</v>
          </cell>
          <cell r="E15" t="str">
            <v>Fleming</v>
          </cell>
        </row>
        <row r="16">
          <cell r="C16" t="str">
            <v>Mr.</v>
          </cell>
          <cell r="D16" t="str">
            <v>Tom</v>
          </cell>
        </row>
        <row r="17">
          <cell r="C17" t="str">
            <v>Mr.</v>
          </cell>
          <cell r="D17" t="str">
            <v>Frank</v>
          </cell>
        </row>
        <row r="18">
          <cell r="C18" t="str">
            <v>Mr.</v>
          </cell>
          <cell r="D18" t="str">
            <v>Michael</v>
          </cell>
        </row>
        <row r="19">
          <cell r="C19" t="str">
            <v>Dr.</v>
          </cell>
          <cell r="D19" t="str">
            <v>Lance</v>
          </cell>
        </row>
        <row r="20">
          <cell r="C20" t="str">
            <v>Mr.</v>
          </cell>
          <cell r="D20" t="str">
            <v>Troy</v>
          </cell>
        </row>
        <row r="22">
          <cell r="C22" t="str">
            <v>Ms.</v>
          </cell>
          <cell r="D22" t="str">
            <v>Dorothy</v>
          </cell>
        </row>
        <row r="23">
          <cell r="C23" t="str">
            <v>Dr.</v>
          </cell>
          <cell r="D23" t="str">
            <v>Aaron</v>
          </cell>
        </row>
        <row r="24">
          <cell r="C24" t="str">
            <v>Ms.</v>
          </cell>
          <cell r="D24" t="str">
            <v>Christine</v>
          </cell>
        </row>
        <row r="25">
          <cell r="D25" t="str">
            <v>Carole</v>
          </cell>
          <cell r="E25" t="str">
            <v>Gilmore</v>
          </cell>
        </row>
        <row r="26">
          <cell r="D26" t="str">
            <v>Erik</v>
          </cell>
          <cell r="E26" t="str">
            <v>Sather</v>
          </cell>
        </row>
        <row r="32">
          <cell r="D32" t="str">
            <v>SELECT from Dropdown</v>
          </cell>
        </row>
        <row r="33">
          <cell r="D33" t="str">
            <v>Edupoint (Synergy)</v>
          </cell>
        </row>
        <row r="35">
          <cell r="D35" t="str">
            <v>Infinite Visions</v>
          </cell>
        </row>
        <row r="37">
          <cell r="D37" t="str">
            <v>In-Touch Receipting</v>
          </cell>
        </row>
        <row r="39">
          <cell r="D39" t="str">
            <v>www.fusd1.org</v>
          </cell>
        </row>
      </sheetData>
      <sheetData sheetId="2">
        <row r="6">
          <cell r="D6" t="str">
            <v>FY</v>
          </cell>
        </row>
        <row r="8">
          <cell r="C8" t="str">
            <v>1.</v>
          </cell>
          <cell r="D8">
            <v>0</v>
          </cell>
        </row>
        <row r="9">
          <cell r="C9" t="str">
            <v xml:space="preserve"> </v>
          </cell>
        </row>
        <row r="10">
          <cell r="C10" t="str">
            <v>2.</v>
          </cell>
          <cell r="D10">
            <v>0</v>
          </cell>
          <cell r="I10">
            <v>20000</v>
          </cell>
        </row>
        <row r="11">
          <cell r="C11" t="str">
            <v>3.</v>
          </cell>
          <cell r="D11">
            <v>0</v>
          </cell>
          <cell r="F11">
            <v>1871332</v>
          </cell>
          <cell r="I11">
            <v>30825</v>
          </cell>
        </row>
        <row r="12">
          <cell r="C12" t="str">
            <v>4.</v>
          </cell>
          <cell r="D12">
            <v>0</v>
          </cell>
          <cell r="I12">
            <v>4012</v>
          </cell>
        </row>
        <row r="13">
          <cell r="C13" t="str">
            <v>5.</v>
          </cell>
          <cell r="D13">
            <v>0</v>
          </cell>
          <cell r="I13">
            <v>3100</v>
          </cell>
        </row>
        <row r="14">
          <cell r="C14" t="str">
            <v>6.</v>
          </cell>
          <cell r="D14">
            <v>0</v>
          </cell>
        </row>
        <row r="15">
          <cell r="C15" t="str">
            <v>7.</v>
          </cell>
          <cell r="D15">
            <v>0</v>
          </cell>
        </row>
        <row r="16">
          <cell r="C16" t="str">
            <v>8.</v>
          </cell>
          <cell r="D16">
            <v>0</v>
          </cell>
        </row>
        <row r="17">
          <cell r="C17" t="str">
            <v>9.</v>
          </cell>
          <cell r="D17">
            <v>0</v>
          </cell>
        </row>
        <row r="18">
          <cell r="C18" t="str">
            <v>10.</v>
          </cell>
          <cell r="D18">
            <v>0</v>
          </cell>
        </row>
        <row r="19">
          <cell r="C19" t="str">
            <v>11.</v>
          </cell>
          <cell r="D19">
            <v>0</v>
          </cell>
        </row>
        <row r="20">
          <cell r="C20" t="str">
            <v>12.</v>
          </cell>
          <cell r="D20">
            <v>0</v>
          </cell>
        </row>
        <row r="21">
          <cell r="C21" t="str">
            <v>13.</v>
          </cell>
          <cell r="D21">
            <v>0</v>
          </cell>
        </row>
        <row r="22">
          <cell r="C22" t="str">
            <v>14.</v>
          </cell>
          <cell r="D22">
            <v>0</v>
          </cell>
        </row>
        <row r="24">
          <cell r="C24" t="str">
            <v>15.</v>
          </cell>
          <cell r="D24">
            <v>0</v>
          </cell>
        </row>
        <row r="26">
          <cell r="D26">
            <v>0</v>
          </cell>
        </row>
        <row r="27">
          <cell r="D27">
            <v>0</v>
          </cell>
        </row>
        <row r="28">
          <cell r="D28">
            <v>0</v>
          </cell>
        </row>
        <row r="30">
          <cell r="D30">
            <v>0</v>
          </cell>
        </row>
        <row r="31">
          <cell r="D31">
            <v>0</v>
          </cell>
        </row>
        <row r="32">
          <cell r="D32">
            <v>0</v>
          </cell>
        </row>
        <row r="33">
          <cell r="D33">
            <v>0</v>
          </cell>
        </row>
        <row r="35">
          <cell r="D35">
            <v>0</v>
          </cell>
          <cell r="F35">
            <v>2935929</v>
          </cell>
        </row>
        <row r="37">
          <cell r="D37">
            <v>0</v>
          </cell>
          <cell r="F37">
            <v>1599185</v>
          </cell>
        </row>
        <row r="38">
          <cell r="D38">
            <v>0</v>
          </cell>
          <cell r="F38">
            <v>88300</v>
          </cell>
        </row>
        <row r="40">
          <cell r="D40">
            <v>0</v>
          </cell>
          <cell r="E40">
            <v>0</v>
          </cell>
          <cell r="F40">
            <v>0</v>
          </cell>
          <cell r="H40">
            <v>0</v>
          </cell>
        </row>
        <row r="41">
          <cell r="D41">
            <v>0</v>
          </cell>
          <cell r="F41">
            <v>327080</v>
          </cell>
          <cell r="H41">
            <v>0</v>
          </cell>
        </row>
        <row r="43">
          <cell r="D43">
            <v>0</v>
          </cell>
          <cell r="E43">
            <v>0</v>
          </cell>
          <cell r="F43">
            <v>50729338</v>
          </cell>
          <cell r="H43">
            <v>6184318</v>
          </cell>
        </row>
      </sheetData>
      <sheetData sheetId="3">
        <row r="11">
          <cell r="F11">
            <v>0</v>
          </cell>
        </row>
        <row r="12">
          <cell r="B12" t="str">
            <v>Vocational and technical education (non-CTED)</v>
          </cell>
        </row>
      </sheetData>
      <sheetData sheetId="4">
        <row r="6">
          <cell r="C6" t="str">
            <v>1.</v>
          </cell>
          <cell r="D6">
            <v>8903346</v>
          </cell>
        </row>
        <row r="7">
          <cell r="C7" t="str">
            <v>2.</v>
          </cell>
          <cell r="D7">
            <v>655160</v>
          </cell>
        </row>
        <row r="8">
          <cell r="C8" t="str">
            <v>3.</v>
          </cell>
        </row>
        <row r="9">
          <cell r="C9" t="str">
            <v>4.</v>
          </cell>
        </row>
        <row r="10">
          <cell r="C10" t="str">
            <v>5.</v>
          </cell>
        </row>
        <row r="11">
          <cell r="C11" t="str">
            <v>6.</v>
          </cell>
        </row>
        <row r="12">
          <cell r="C12" t="str">
            <v>7.</v>
          </cell>
        </row>
        <row r="13">
          <cell r="C13" t="str">
            <v>8.</v>
          </cell>
        </row>
        <row r="14">
          <cell r="C14" t="str">
            <v>9.</v>
          </cell>
          <cell r="D14">
            <v>9558506</v>
          </cell>
        </row>
        <row r="31">
          <cell r="D31">
            <v>12402430</v>
          </cell>
        </row>
        <row r="32">
          <cell r="D32">
            <v>7755722</v>
          </cell>
          <cell r="E32" t="str">
            <v/>
          </cell>
        </row>
        <row r="33">
          <cell r="D33">
            <v>4646708</v>
          </cell>
        </row>
        <row r="35">
          <cell r="D35">
            <v>8183215</v>
          </cell>
        </row>
        <row r="38">
          <cell r="D38">
            <v>12904925</v>
          </cell>
        </row>
      </sheetData>
      <sheetData sheetId="5">
        <row r="7">
          <cell r="D7">
            <v>6440</v>
          </cell>
        </row>
        <row r="8">
          <cell r="C8" t="str">
            <v>1.</v>
          </cell>
        </row>
        <row r="10">
          <cell r="C10" t="str">
            <v>2.</v>
          </cell>
        </row>
        <row r="12">
          <cell r="C12" t="str">
            <v>3.</v>
          </cell>
        </row>
        <row r="13">
          <cell r="C13" t="str">
            <v>4.</v>
          </cell>
        </row>
        <row r="14">
          <cell r="C14" t="str">
            <v>5.</v>
          </cell>
        </row>
        <row r="15">
          <cell r="C15" t="str">
            <v>6.</v>
          </cell>
        </row>
        <row r="16">
          <cell r="C16" t="str">
            <v>7.</v>
          </cell>
        </row>
        <row r="17">
          <cell r="C17" t="str">
            <v>8.</v>
          </cell>
        </row>
        <row r="18">
          <cell r="C18" t="str">
            <v>9.</v>
          </cell>
        </row>
        <row r="19">
          <cell r="C19" t="str">
            <v>10.</v>
          </cell>
          <cell r="D19">
            <v>0</v>
          </cell>
        </row>
        <row r="30">
          <cell r="E30" t="str">
            <v>(6)</v>
          </cell>
        </row>
        <row r="39">
          <cell r="E39" t="str">
            <v>, interest on leases of</v>
          </cell>
          <cell r="H39" t="str">
            <v>, and interest on bonds of</v>
          </cell>
        </row>
      </sheetData>
      <sheetData sheetId="6">
        <row r="6">
          <cell r="D6" t="str">
            <v>Fund 610</v>
          </cell>
        </row>
        <row r="7">
          <cell r="D7" t="str">
            <v>Prior FY</v>
          </cell>
        </row>
        <row r="8">
          <cell r="C8" t="str">
            <v>1.</v>
          </cell>
          <cell r="D8">
            <v>5991848</v>
          </cell>
        </row>
        <row r="10">
          <cell r="C10" t="str">
            <v>2.</v>
          </cell>
          <cell r="D10">
            <v>0</v>
          </cell>
        </row>
        <row r="11">
          <cell r="C11" t="str">
            <v>3.</v>
          </cell>
          <cell r="D11">
            <v>0</v>
          </cell>
          <cell r="F11">
            <v>46000</v>
          </cell>
        </row>
        <row r="12">
          <cell r="C12" t="str">
            <v>4.</v>
          </cell>
          <cell r="D12">
            <v>1551507</v>
          </cell>
        </row>
        <row r="13">
          <cell r="C13" t="str">
            <v>5.</v>
          </cell>
          <cell r="D13">
            <v>0</v>
          </cell>
        </row>
        <row r="14">
          <cell r="C14" t="str">
            <v>6.</v>
          </cell>
          <cell r="D14">
            <v>0</v>
          </cell>
        </row>
        <row r="15">
          <cell r="C15" t="str">
            <v>7.</v>
          </cell>
          <cell r="D15">
            <v>851084</v>
          </cell>
          <cell r="E15">
            <v>706393</v>
          </cell>
        </row>
        <row r="16">
          <cell r="C16" t="str">
            <v>8.</v>
          </cell>
          <cell r="D16">
            <v>420000</v>
          </cell>
        </row>
        <row r="17">
          <cell r="C17" t="str">
            <v>9.</v>
          </cell>
          <cell r="D17">
            <v>2744715</v>
          </cell>
        </row>
        <row r="18">
          <cell r="C18" t="str">
            <v>10.</v>
          </cell>
          <cell r="D18">
            <v>0</v>
          </cell>
        </row>
        <row r="19">
          <cell r="C19" t="str">
            <v>11.</v>
          </cell>
          <cell r="D19">
            <v>0</v>
          </cell>
        </row>
        <row r="20">
          <cell r="C20" t="str">
            <v>12.</v>
          </cell>
          <cell r="D20">
            <v>5567306</v>
          </cell>
        </row>
        <row r="22">
          <cell r="C22" t="str">
            <v>13.</v>
          </cell>
          <cell r="D22">
            <v>1461482</v>
          </cell>
        </row>
        <row r="23">
          <cell r="C23" t="str">
            <v>14.</v>
          </cell>
          <cell r="D23">
            <v>0</v>
          </cell>
        </row>
        <row r="24">
          <cell r="C24" t="str">
            <v>15.</v>
          </cell>
          <cell r="D24">
            <v>4105824</v>
          </cell>
        </row>
        <row r="25">
          <cell r="D25">
            <v>5567306</v>
          </cell>
          <cell r="E25">
            <v>4717719</v>
          </cell>
        </row>
        <row r="26">
          <cell r="E26" t="str">
            <v/>
          </cell>
        </row>
        <row r="28">
          <cell r="E28">
            <v>900213</v>
          </cell>
        </row>
      </sheetData>
      <sheetData sheetId="7">
        <row r="7">
          <cell r="C7" t="str">
            <v>100-130 ESEA Title I - Helping Disadvantaged Children</v>
          </cell>
        </row>
        <row r="8">
          <cell r="C8" t="str">
            <v>140-150 ESEA Title II - Prof. Dev. and Technology</v>
          </cell>
        </row>
        <row r="9">
          <cell r="C9" t="str">
            <v>160 ESEA Title IV - 21st Century Schools</v>
          </cell>
        </row>
        <row r="10">
          <cell r="C10" t="str">
            <v>170-180 ESEA Title V - Promote Informed Parent Choice</v>
          </cell>
          <cell r="I10">
            <v>0</v>
          </cell>
        </row>
        <row r="11">
          <cell r="C11" t="str">
            <v>190 ESEA Title III - Limited Eng. &amp; Immigrant Students</v>
          </cell>
          <cell r="F11">
            <v>0</v>
          </cell>
          <cell r="I11">
            <v>115630</v>
          </cell>
        </row>
        <row r="12">
          <cell r="C12" t="str">
            <v>200 ESEA Title VII - Indian Education</v>
          </cell>
          <cell r="I12">
            <v>600000</v>
          </cell>
        </row>
        <row r="13">
          <cell r="C13" t="str">
            <v>210 ESEA Title VI - Flexibility and Accountability</v>
          </cell>
          <cell r="I13">
            <v>0</v>
          </cell>
        </row>
        <row r="14">
          <cell r="C14" t="str">
            <v>220 IDEA Part B</v>
          </cell>
        </row>
        <row r="15">
          <cell r="C15" t="str">
            <v>230 Johnson-O'Malley</v>
          </cell>
        </row>
        <row r="16">
          <cell r="C16" t="str">
            <v>240 Workforce Investment Act</v>
          </cell>
        </row>
        <row r="17">
          <cell r="C17" t="str">
            <v>250 AEA -  Adult Education</v>
          </cell>
        </row>
        <row r="18">
          <cell r="C18" t="str">
            <v>260-270 Vocational Education - Basic Grants</v>
          </cell>
        </row>
        <row r="19">
          <cell r="C19" t="str">
            <v>280 ESEA Title X - Homeless Education</v>
          </cell>
        </row>
        <row r="20">
          <cell r="C20" t="str">
            <v>290 Medicaid Reimbursement</v>
          </cell>
        </row>
        <row r="21">
          <cell r="C21" t="str">
            <v>349 National Forest Fees</v>
          </cell>
        </row>
        <row r="22">
          <cell r="C22" t="str">
            <v>353 Taylor Grazing Fees</v>
          </cell>
        </row>
        <row r="23">
          <cell r="C23" t="str">
            <v>374 E-Rate</v>
          </cell>
        </row>
        <row r="24">
          <cell r="C24" t="str">
            <v>378 Impact Aid</v>
          </cell>
        </row>
        <row r="33">
          <cell r="F33">
            <v>0</v>
          </cell>
        </row>
        <row r="35">
          <cell r="F35">
            <v>0</v>
          </cell>
        </row>
        <row r="36">
          <cell r="F36">
            <v>0</v>
          </cell>
        </row>
        <row r="37">
          <cell r="F37">
            <v>0</v>
          </cell>
        </row>
        <row r="38">
          <cell r="F38">
            <v>0</v>
          </cell>
        </row>
        <row r="39">
          <cell r="F39">
            <v>0</v>
          </cell>
        </row>
        <row r="40">
          <cell r="F40">
            <v>0</v>
          </cell>
        </row>
      </sheetData>
      <sheetData sheetId="8">
        <row r="10">
          <cell r="I10" t="str">
            <v>$</v>
          </cell>
        </row>
        <row r="14">
          <cell r="C14" t="str">
            <v>FY 2025 District Additional Assistance (DAA)  (from BSA55 tab, page 4)</v>
          </cell>
        </row>
        <row r="15">
          <cell r="C15" t="str">
            <v>DAA Adjustment (from BSA55 tab, page 4)</v>
          </cell>
        </row>
        <row r="17">
          <cell r="C17" t="str">
            <v>Total DAA (line 2.a plus 2.b)</v>
          </cell>
        </row>
        <row r="19">
          <cell r="C19" t="str">
            <v xml:space="preserve">Maintenance and Operation </v>
          </cell>
        </row>
        <row r="20">
          <cell r="C20" t="str">
            <v>Unrestricted Capital Outlay</v>
          </cell>
        </row>
        <row r="21">
          <cell r="C21" t="str">
            <v>Special Program</v>
          </cell>
        </row>
      </sheetData>
      <sheetData sheetId="9">
        <row r="7">
          <cell r="C7" t="str">
            <v>FY 2024 Unrestricted Capital Budget Limit (UCBL)</v>
          </cell>
        </row>
        <row r="8">
          <cell r="C8" t="str">
            <v xml:space="preserve">  (from FY 2024 latest revised Budget, page 8, line 12)</v>
          </cell>
        </row>
        <row r="9">
          <cell r="C9" t="str">
            <v>Total UCBL adjustment for prior years as notified by ADE on BUDG75 report (For budget</v>
          </cell>
        </row>
        <row r="10">
          <cell r="C10" t="str">
            <v>adoption, use zero.)</v>
          </cell>
        </row>
        <row r="11">
          <cell r="C11" t="str">
            <v>Adjusted amount available for FY 2024 Capital expenditures (line 1 + 2)</v>
          </cell>
        </row>
        <row r="12">
          <cell r="B12" t="str">
            <v>4.</v>
          </cell>
          <cell r="C12" t="str">
            <v>Amount budgeted in Fund 610 in FY 2024</v>
          </cell>
        </row>
        <row r="13">
          <cell r="C13" t="str">
            <v>(from FY 2024 latest revised Budget, page 4, line 10)</v>
          </cell>
        </row>
        <row r="14">
          <cell r="C14" t="str">
            <v>Lesser of line 3 or the sum of line 4 and any positive adjustment on line 2</v>
          </cell>
        </row>
        <row r="15">
          <cell r="C15" t="str">
            <v>FY 2024 Fund 610 actual expenditures  (For budget adoption use actual expenditures</v>
          </cell>
        </row>
        <row r="16">
          <cell r="C16" t="str">
            <v>to date plus estimated expenditures through fiscal year-end.)</v>
          </cell>
        </row>
        <row r="17">
          <cell r="C17" t="str">
            <v xml:space="preserve">Unexpended budget balance in Fund 610 (line 5 minus 6) If negative, use zero in </v>
          </cell>
        </row>
        <row r="18">
          <cell r="C18" t="str">
            <v>calculation, but show negative amount here in parentheses.</v>
          </cell>
        </row>
        <row r="19">
          <cell r="C19" t="str">
            <v>Interest earned in Fund 610 in FY 2024</v>
          </cell>
        </row>
        <row r="20">
          <cell r="C20" t="str">
            <v>Monies deposited in Fund 610 from Division of School Facilities for donated land (A.R.S. §41-5741.F)</v>
          </cell>
        </row>
        <row r="22">
          <cell r="C22" t="str">
            <v>Adjustment to UCBL for FY 2025 (A.R.S. Section 15-905.M) Include year(s) and descriptions, as applicable.</v>
          </cell>
        </row>
        <row r="23">
          <cell r="C23" t="str">
            <v>(a)</v>
          </cell>
          <cell r="D23" t="str">
            <v>Prior year over expenditures/resolutions:</v>
          </cell>
        </row>
        <row r="27">
          <cell r="D27" t="str">
            <v>ADM/Transportation audit adjustment</v>
          </cell>
        </row>
        <row r="28">
          <cell r="D28" t="str">
            <v>Other:</v>
          </cell>
        </row>
      </sheetData>
      <sheetData sheetId="10">
        <row r="6">
          <cell r="D6" t="str">
            <v>FY</v>
          </cell>
        </row>
        <row r="8">
          <cell r="C8" t="str">
            <v>1.</v>
          </cell>
          <cell r="D8">
            <v>0</v>
          </cell>
        </row>
        <row r="9">
          <cell r="C9" t="str">
            <v xml:space="preserve"> </v>
          </cell>
        </row>
        <row r="10">
          <cell r="C10" t="str">
            <v>2.</v>
          </cell>
          <cell r="D10">
            <v>0</v>
          </cell>
        </row>
        <row r="11">
          <cell r="C11" t="str">
            <v>3.</v>
          </cell>
          <cell r="D11">
            <v>0</v>
          </cell>
        </row>
        <row r="12">
          <cell r="C12" t="str">
            <v>4.</v>
          </cell>
          <cell r="D12">
            <v>0</v>
          </cell>
        </row>
        <row r="13">
          <cell r="C13" t="str">
            <v>5.</v>
          </cell>
          <cell r="D13">
            <v>0</v>
          </cell>
        </row>
        <row r="14">
          <cell r="C14" t="str">
            <v>6.</v>
          </cell>
          <cell r="D14">
            <v>0</v>
          </cell>
        </row>
        <row r="15">
          <cell r="C15" t="str">
            <v>7.</v>
          </cell>
          <cell r="D15">
            <v>0</v>
          </cell>
        </row>
        <row r="16">
          <cell r="C16" t="str">
            <v>8.</v>
          </cell>
          <cell r="D16">
            <v>0</v>
          </cell>
        </row>
        <row r="17">
          <cell r="C17" t="str">
            <v>9.</v>
          </cell>
          <cell r="D17">
            <v>0</v>
          </cell>
        </row>
        <row r="18">
          <cell r="C18" t="str">
            <v>10.</v>
          </cell>
          <cell r="D18">
            <v>0</v>
          </cell>
        </row>
        <row r="20">
          <cell r="C20" t="str">
            <v>11.</v>
          </cell>
          <cell r="D20">
            <v>0</v>
          </cell>
        </row>
        <row r="22">
          <cell r="C22" t="str">
            <v>12.</v>
          </cell>
          <cell r="D22">
            <v>0</v>
          </cell>
        </row>
        <row r="23">
          <cell r="C23" t="str">
            <v>13.</v>
          </cell>
          <cell r="D23">
            <v>0</v>
          </cell>
        </row>
        <row r="24">
          <cell r="C24" t="str">
            <v>14.</v>
          </cell>
          <cell r="D24">
            <v>0</v>
          </cell>
        </row>
        <row r="25">
          <cell r="D25">
            <v>0</v>
          </cell>
        </row>
        <row r="26">
          <cell r="D26">
            <v>0</v>
          </cell>
        </row>
        <row r="27">
          <cell r="D27">
            <v>0</v>
          </cell>
        </row>
        <row r="28">
          <cell r="D28">
            <v>0</v>
          </cell>
        </row>
        <row r="30">
          <cell r="D30">
            <v>0</v>
          </cell>
          <cell r="E30">
            <v>0</v>
          </cell>
        </row>
      </sheetData>
      <sheetData sheetId="11">
        <row r="9">
          <cell r="C9" t="str">
            <v>Prior year</v>
          </cell>
          <cell r="D9" t="str">
            <v>Budget year</v>
          </cell>
        </row>
        <row r="10">
          <cell r="C10" t="str">
            <v>2024 ADM</v>
          </cell>
          <cell r="D10" t="str">
            <v>2025 ADM</v>
          </cell>
          <cell r="I10">
            <v>58637</v>
          </cell>
        </row>
        <row r="11">
          <cell r="I11">
            <v>57544</v>
          </cell>
        </row>
        <row r="12">
          <cell r="B12">
            <v>8578.0622999999996</v>
          </cell>
          <cell r="C12">
            <v>8354.2139999999999</v>
          </cell>
          <cell r="D12">
            <v>8605.5</v>
          </cell>
          <cell r="I12">
            <v>1093</v>
          </cell>
        </row>
        <row r="13">
          <cell r="C13" t="str">
            <v>Prior FY</v>
          </cell>
          <cell r="D13" t="str">
            <v>Est. Budget FY</v>
          </cell>
          <cell r="I13">
            <v>0.02</v>
          </cell>
        </row>
        <row r="15">
          <cell r="E15" t="str">
            <v xml:space="preserve">Comments on average salary calculation (Optional): </v>
          </cell>
        </row>
        <row r="16">
          <cell r="C16">
            <v>3.5061</v>
          </cell>
          <cell r="D16">
            <v>3.3944000000000001</v>
          </cell>
        </row>
        <row r="19">
          <cell r="C19">
            <v>1.3382000000000001</v>
          </cell>
          <cell r="D19">
            <v>1.1861999999999999</v>
          </cell>
        </row>
        <row r="20">
          <cell r="C20" t="str">
            <v>Budgeted Expenditures</v>
          </cell>
        </row>
        <row r="21">
          <cell r="D21" t="str">
            <v>Budget Limit</v>
          </cell>
        </row>
        <row r="22">
          <cell r="C22">
            <v>78234794</v>
          </cell>
          <cell r="D22">
            <v>78234794</v>
          </cell>
        </row>
        <row r="23">
          <cell r="C23">
            <v>12904925</v>
          </cell>
          <cell r="D23">
            <v>12904925</v>
          </cell>
        </row>
        <row r="24">
          <cell r="C24">
            <v>6390999</v>
          </cell>
          <cell r="D24">
            <v>6390999</v>
          </cell>
        </row>
        <row r="29">
          <cell r="E29" t="str">
            <v>Other</v>
          </cell>
        </row>
        <row r="30">
          <cell r="D30" t="str">
            <v>Budget FY</v>
          </cell>
          <cell r="E30" t="str">
            <v>Prior FY</v>
          </cell>
        </row>
        <row r="33">
          <cell r="D33">
            <v>30729579</v>
          </cell>
          <cell r="E33">
            <v>1264223</v>
          </cell>
          <cell r="F33">
            <v>1188000</v>
          </cell>
        </row>
        <row r="35">
          <cell r="D35">
            <v>3131827</v>
          </cell>
          <cell r="F35">
            <v>35049</v>
          </cell>
        </row>
        <row r="36">
          <cell r="C36">
            <v>2618867</v>
          </cell>
          <cell r="D36">
            <v>2556367</v>
          </cell>
          <cell r="E36">
            <v>337675</v>
          </cell>
          <cell r="F36">
            <v>437675</v>
          </cell>
        </row>
        <row r="37">
          <cell r="C37">
            <v>7467537</v>
          </cell>
          <cell r="D37">
            <v>7561185</v>
          </cell>
          <cell r="E37">
            <v>1077202</v>
          </cell>
          <cell r="F37">
            <v>1127202</v>
          </cell>
        </row>
        <row r="38">
          <cell r="C38">
            <v>3639424</v>
          </cell>
          <cell r="D38">
            <v>3738468</v>
          </cell>
          <cell r="E38">
            <v>6816576</v>
          </cell>
          <cell r="F38">
            <v>5820045</v>
          </cell>
          <cell r="H38">
            <v>9558513</v>
          </cell>
        </row>
        <row r="39">
          <cell r="C39">
            <v>0</v>
          </cell>
          <cell r="D39">
            <v>0</v>
          </cell>
          <cell r="E39">
            <v>0</v>
          </cell>
          <cell r="F39">
            <v>0</v>
          </cell>
          <cell r="H39">
            <v>0</v>
          </cell>
        </row>
        <row r="40">
          <cell r="C40">
            <v>128496</v>
          </cell>
          <cell r="D40">
            <v>128496</v>
          </cell>
          <cell r="E40">
            <v>17425</v>
          </cell>
          <cell r="F40">
            <v>17425</v>
          </cell>
          <cell r="H40">
            <v>145921</v>
          </cell>
        </row>
        <row r="41">
          <cell r="C41">
            <v>45892</v>
          </cell>
          <cell r="D41">
            <v>45892</v>
          </cell>
          <cell r="E41">
            <v>0</v>
          </cell>
          <cell r="F41">
            <v>0</v>
          </cell>
          <cell r="H41">
            <v>45892</v>
          </cell>
        </row>
        <row r="42">
          <cell r="C42">
            <v>375386</v>
          </cell>
          <cell r="D42">
            <v>379765</v>
          </cell>
          <cell r="E42">
            <v>9005</v>
          </cell>
          <cell r="F42">
            <v>9005</v>
          </cell>
        </row>
        <row r="43">
          <cell r="C43">
            <v>0</v>
          </cell>
          <cell r="D43">
            <v>0</v>
          </cell>
          <cell r="E43">
            <v>0</v>
          </cell>
          <cell r="F43">
            <v>0</v>
          </cell>
          <cell r="H43">
            <v>0</v>
          </cell>
        </row>
        <row r="44">
          <cell r="D44">
            <v>48271579</v>
          </cell>
          <cell r="E44">
            <v>9561155</v>
          </cell>
          <cell r="F44">
            <v>8634401</v>
          </cell>
          <cell r="H44">
            <v>56905980</v>
          </cell>
        </row>
        <row r="46">
          <cell r="D46">
            <v>6831716</v>
          </cell>
          <cell r="E46">
            <v>193500</v>
          </cell>
          <cell r="F46">
            <v>193500</v>
          </cell>
          <cell r="H46">
            <v>7025216</v>
          </cell>
        </row>
        <row r="48">
          <cell r="D48">
            <v>3952650</v>
          </cell>
          <cell r="F48">
            <v>22150</v>
          </cell>
        </row>
        <row r="49">
          <cell r="C49">
            <v>1358052</v>
          </cell>
          <cell r="D49">
            <v>1356564</v>
          </cell>
          <cell r="E49">
            <v>325700</v>
          </cell>
          <cell r="F49">
            <v>361285</v>
          </cell>
        </row>
        <row r="50">
          <cell r="C50">
            <v>0</v>
          </cell>
          <cell r="D50">
            <v>0</v>
          </cell>
          <cell r="E50">
            <v>500</v>
          </cell>
          <cell r="F50">
            <v>0</v>
          </cell>
          <cell r="H50">
            <v>0</v>
          </cell>
        </row>
        <row r="51">
          <cell r="C51">
            <v>0</v>
          </cell>
          <cell r="D51">
            <v>0</v>
          </cell>
          <cell r="E51">
            <v>0</v>
          </cell>
          <cell r="F51">
            <v>0</v>
          </cell>
          <cell r="H51">
            <v>0</v>
          </cell>
        </row>
        <row r="52">
          <cell r="C52">
            <v>0</v>
          </cell>
          <cell r="D52">
            <v>0</v>
          </cell>
          <cell r="E52">
            <v>0</v>
          </cell>
          <cell r="F52">
            <v>0</v>
          </cell>
        </row>
        <row r="53">
          <cell r="C53">
            <v>0</v>
          </cell>
          <cell r="D53">
            <v>0</v>
          </cell>
          <cell r="E53">
            <v>0</v>
          </cell>
          <cell r="F53">
            <v>0</v>
          </cell>
        </row>
        <row r="55">
          <cell r="C55">
            <v>4154408</v>
          </cell>
          <cell r="D55">
            <v>4154408</v>
          </cell>
          <cell r="E55">
            <v>1665443</v>
          </cell>
          <cell r="F55">
            <v>1665443</v>
          </cell>
        </row>
        <row r="56">
          <cell r="C56">
            <v>2205416</v>
          </cell>
          <cell r="D56">
            <v>2205416</v>
          </cell>
          <cell r="E56">
            <v>35906</v>
          </cell>
          <cell r="F56">
            <v>35906</v>
          </cell>
        </row>
        <row r="57">
          <cell r="C57">
            <v>115870</v>
          </cell>
          <cell r="D57">
            <v>115870</v>
          </cell>
          <cell r="E57">
            <v>0</v>
          </cell>
          <cell r="F57">
            <v>0</v>
          </cell>
        </row>
        <row r="59">
          <cell r="D59">
            <v>0</v>
          </cell>
          <cell r="F59">
            <v>0</v>
          </cell>
        </row>
        <row r="60">
          <cell r="C60">
            <v>433906</v>
          </cell>
          <cell r="D60">
            <v>433906</v>
          </cell>
          <cell r="E60">
            <v>0</v>
          </cell>
          <cell r="F60">
            <v>0</v>
          </cell>
        </row>
      </sheetData>
      <sheetData sheetId="12">
        <row r="6">
          <cell r="C6">
            <v>78358012</v>
          </cell>
          <cell r="D6">
            <v>78234794</v>
          </cell>
        </row>
        <row r="7">
          <cell r="C7">
            <v>0</v>
          </cell>
          <cell r="D7">
            <v>0</v>
          </cell>
        </row>
        <row r="8">
          <cell r="C8">
            <v>0</v>
          </cell>
          <cell r="D8">
            <v>0</v>
          </cell>
        </row>
        <row r="9">
          <cell r="C9">
            <v>0</v>
          </cell>
          <cell r="D9">
            <v>0</v>
          </cell>
        </row>
        <row r="10">
          <cell r="C10">
            <v>12402430</v>
          </cell>
          <cell r="D10">
            <v>12904925</v>
          </cell>
        </row>
        <row r="11">
          <cell r="C11">
            <v>14511174</v>
          </cell>
          <cell r="D11">
            <v>11260982</v>
          </cell>
          <cell r="F11">
            <v>-0.224</v>
          </cell>
        </row>
        <row r="12">
          <cell r="C12">
            <v>1595341</v>
          </cell>
          <cell r="D12">
            <v>1309832</v>
          </cell>
        </row>
        <row r="13">
          <cell r="C13">
            <v>5991848</v>
          </cell>
          <cell r="D13">
            <v>6390999</v>
          </cell>
        </row>
        <row r="14">
          <cell r="C14">
            <v>0</v>
          </cell>
          <cell r="D14">
            <v>0</v>
          </cell>
        </row>
        <row r="15">
          <cell r="C15">
            <v>0</v>
          </cell>
          <cell r="D15">
            <v>0</v>
          </cell>
          <cell r="E15">
            <v>0</v>
          </cell>
        </row>
        <row r="16">
          <cell r="C16">
            <v>10441275</v>
          </cell>
          <cell r="D16">
            <v>9060875</v>
          </cell>
        </row>
        <row r="17">
          <cell r="C17">
            <v>800000</v>
          </cell>
          <cell r="D17">
            <v>900000</v>
          </cell>
        </row>
        <row r="18">
          <cell r="C18">
            <v>925000</v>
          </cell>
          <cell r="D18">
            <v>950000</v>
          </cell>
        </row>
        <row r="19">
          <cell r="C19">
            <v>18000000</v>
          </cell>
          <cell r="D19">
            <v>40000000</v>
          </cell>
        </row>
        <row r="20">
          <cell r="C20">
            <v>3865397</v>
          </cell>
          <cell r="D20">
            <v>4240868</v>
          </cell>
        </row>
        <row r="21">
          <cell r="C21">
            <v>11032556</v>
          </cell>
          <cell r="D21">
            <v>9315619</v>
          </cell>
        </row>
        <row r="24">
          <cell r="D24" t="str">
            <v>Prior FY</v>
          </cell>
        </row>
        <row r="25">
          <cell r="D25">
            <v>11475118</v>
          </cell>
          <cell r="E25">
            <v>11604865</v>
          </cell>
        </row>
        <row r="26">
          <cell r="D26">
            <v>65000</v>
          </cell>
          <cell r="E26">
            <v>63000</v>
          </cell>
        </row>
        <row r="27">
          <cell r="D27">
            <v>0</v>
          </cell>
          <cell r="E27">
            <v>0</v>
          </cell>
        </row>
        <row r="28">
          <cell r="D28">
            <v>0</v>
          </cell>
          <cell r="E28">
            <v>0</v>
          </cell>
        </row>
        <row r="29">
          <cell r="E29">
            <v>0</v>
          </cell>
        </row>
        <row r="30">
          <cell r="D30">
            <v>1000000</v>
          </cell>
          <cell r="E30">
            <v>1050000</v>
          </cell>
        </row>
        <row r="31">
          <cell r="D31">
            <v>0</v>
          </cell>
          <cell r="E31">
            <v>0</v>
          </cell>
        </row>
        <row r="32">
          <cell r="D32">
            <v>0</v>
          </cell>
          <cell r="E32">
            <v>0</v>
          </cell>
        </row>
        <row r="33">
          <cell r="D33">
            <v>12540118</v>
          </cell>
          <cell r="E33">
            <v>12717865</v>
          </cell>
          <cell r="F33" t="str">
            <v/>
          </cell>
        </row>
        <row r="36">
          <cell r="D36" t="str">
            <v>Purchased Services Personnel  FTE</v>
          </cell>
          <cell r="F36" t="str">
            <v>Total FTE</v>
          </cell>
        </row>
        <row r="38">
          <cell r="E38">
            <v>38</v>
          </cell>
          <cell r="F38">
            <v>38</v>
          </cell>
          <cell r="H38">
            <v>226.5</v>
          </cell>
        </row>
        <row r="39">
          <cell r="E39">
            <v>546</v>
          </cell>
          <cell r="F39">
            <v>546</v>
          </cell>
          <cell r="H39">
            <v>15.8</v>
          </cell>
        </row>
        <row r="40">
          <cell r="E40">
            <v>77</v>
          </cell>
          <cell r="F40">
            <v>77</v>
          </cell>
          <cell r="H40">
            <v>111.8</v>
          </cell>
        </row>
        <row r="41">
          <cell r="D41">
            <v>0</v>
          </cell>
          <cell r="E41">
            <v>661</v>
          </cell>
          <cell r="F41">
            <v>661</v>
          </cell>
          <cell r="H41">
            <v>13</v>
          </cell>
        </row>
        <row r="43">
          <cell r="E43">
            <v>29</v>
          </cell>
          <cell r="F43">
            <v>29</v>
          </cell>
          <cell r="H43">
            <v>296.7</v>
          </cell>
        </row>
        <row r="44">
          <cell r="E44">
            <v>120</v>
          </cell>
          <cell r="F44">
            <v>120</v>
          </cell>
          <cell r="H44">
            <v>71.7</v>
          </cell>
        </row>
        <row r="45">
          <cell r="E45">
            <v>332</v>
          </cell>
          <cell r="F45">
            <v>332</v>
          </cell>
          <cell r="H45">
            <v>25.9</v>
          </cell>
        </row>
        <row r="46">
          <cell r="D46">
            <v>0</v>
          </cell>
          <cell r="E46">
            <v>481</v>
          </cell>
          <cell r="F46">
            <v>481</v>
          </cell>
          <cell r="H46">
            <v>17.899999999999999</v>
          </cell>
        </row>
        <row r="47">
          <cell r="D47">
            <v>0</v>
          </cell>
          <cell r="E47">
            <v>1142</v>
          </cell>
          <cell r="F47">
            <v>1142</v>
          </cell>
          <cell r="H47">
            <v>7.5</v>
          </cell>
        </row>
        <row r="50">
          <cell r="E50">
            <v>79</v>
          </cell>
          <cell r="F50">
            <v>79</v>
          </cell>
          <cell r="H50">
            <v>21</v>
          </cell>
        </row>
        <row r="51">
          <cell r="E51">
            <v>169</v>
          </cell>
          <cell r="F51">
            <v>169</v>
          </cell>
          <cell r="H51">
            <v>9.8000000000000007</v>
          </cell>
        </row>
      </sheetData>
      <sheetData sheetId="13">
        <row r="6">
          <cell r="C6" t="str">
            <v>Deduction for discontinued programs</v>
          </cell>
        </row>
        <row r="7">
          <cell r="C7" t="str">
            <v>Adjusted FY 2025 TNT Base Limit</v>
          </cell>
        </row>
        <row r="11">
          <cell r="C11" t="str">
            <v xml:space="preserve">Desegregation (no longer a primary levy, must be zero) </v>
          </cell>
          <cell r="I11">
            <v>0</v>
          </cell>
        </row>
        <row r="12">
          <cell r="C12" t="str">
            <v>Dropout prevention (from page 1, line 27)</v>
          </cell>
          <cell r="I12">
            <v>115870</v>
          </cell>
        </row>
        <row r="13">
          <cell r="C13" t="str">
            <v xml:space="preserve">Joint Career and Technical Education and Vocational Education Center </v>
          </cell>
          <cell r="I13">
            <v>0</v>
          </cell>
        </row>
        <row r="14">
          <cell r="C14" t="str">
            <v>Small school adjustment (from page 7, line 4, columns A and B)</v>
          </cell>
        </row>
        <row r="16">
          <cell r="C16" t="str">
            <v>Desegregation, dropout prevention, and Joint Career and Technical Education and Vocational Education Center</v>
          </cell>
        </row>
        <row r="17">
          <cell r="C17" t="str">
            <v>a.</v>
          </cell>
          <cell r="D17" t="str">
            <v>FY 2024 Total actual expenditures for programs above</v>
          </cell>
        </row>
        <row r="18">
          <cell r="C18" t="str">
            <v>b.</v>
          </cell>
          <cell r="D18" t="str">
            <v>Sum of FY 2024 original budget amounts for programs above (from FY 2024 TNT work sheet, sum of lines 4, 5, and 6)</v>
          </cell>
        </row>
        <row r="19">
          <cell r="C19" t="str">
            <v>c.</v>
          </cell>
          <cell r="D19" t="str">
            <v>Expenditures over/(under) original budget (line 8.a minus line 8.b)</v>
          </cell>
        </row>
        <row r="20">
          <cell r="C20" t="str">
            <v>Small school adjustment</v>
          </cell>
        </row>
        <row r="21">
          <cell r="C21" t="str">
            <v>a.</v>
          </cell>
          <cell r="D21" t="str">
            <v>FY 2024 final budget for small school adjustment</v>
          </cell>
        </row>
        <row r="22">
          <cell r="C22" t="str">
            <v>b.</v>
          </cell>
          <cell r="D22" t="str">
            <v>FY 2024 original budget for small school adjustment (from FY 2024 TNT work sheet, line 7)</v>
          </cell>
        </row>
        <row r="23">
          <cell r="C23" t="str">
            <v>c.</v>
          </cell>
          <cell r="D23" t="str">
            <v>Amount over/(under) budget for small school adjustment (line 9.a minus line 9.b)</v>
          </cell>
        </row>
        <row r="24">
          <cell r="C24" t="str">
            <v>Total (add lines 4 through 7 and line 8.c. and line 9.c.)</v>
          </cell>
        </row>
        <row r="38">
          <cell r="H38" t="str">
            <v>$</v>
          </cell>
        </row>
      </sheetData>
      <sheetData sheetId="14">
        <row r="6">
          <cell r="C6" t="str">
            <v>Funds</v>
          </cell>
        </row>
        <row r="7">
          <cell r="C7" t="str">
            <v>General</v>
          </cell>
        </row>
        <row r="8">
          <cell r="C8" t="str">
            <v>Maintenance and Operations</v>
          </cell>
          <cell r="D8" t="str">
            <v>Unrestricted Capital Outlay  
(if included in the General Fund)</v>
          </cell>
        </row>
        <row r="10">
          <cell r="C10">
            <v>2940749</v>
          </cell>
          <cell r="D10">
            <v>614934</v>
          </cell>
          <cell r="I10">
            <v>-493499</v>
          </cell>
        </row>
        <row r="14">
          <cell r="C14">
            <v>75417263</v>
          </cell>
          <cell r="D14">
            <v>5376914</v>
          </cell>
        </row>
        <row r="15">
          <cell r="C15">
            <v>76651824</v>
          </cell>
          <cell r="D15">
            <v>4637436</v>
          </cell>
          <cell r="E15">
            <v>12743312</v>
          </cell>
        </row>
        <row r="17">
          <cell r="C17">
            <v>1706188</v>
          </cell>
          <cell r="D17">
            <v>1354412</v>
          </cell>
        </row>
        <row r="21">
          <cell r="C21">
            <v>1006188</v>
          </cell>
        </row>
        <row r="22">
          <cell r="C22">
            <v>700000</v>
          </cell>
          <cell r="D22">
            <v>1354412</v>
          </cell>
        </row>
        <row r="23">
          <cell r="C23">
            <v>1706188</v>
          </cell>
          <cell r="D23">
            <v>1354412</v>
          </cell>
        </row>
        <row r="27">
          <cell r="D27">
            <v>893912</v>
          </cell>
        </row>
        <row r="28">
          <cell r="D28">
            <v>460500</v>
          </cell>
          <cell r="E28">
            <v>6845140</v>
          </cell>
        </row>
        <row r="29">
          <cell r="E29">
            <v>1711285</v>
          </cell>
        </row>
        <row r="30">
          <cell r="D30">
            <v>1354412</v>
          </cell>
          <cell r="E30">
            <v>8556425</v>
          </cell>
        </row>
        <row r="35">
          <cell r="D35">
            <v>6390999</v>
          </cell>
        </row>
        <row r="36">
          <cell r="D36">
            <v>5751899</v>
          </cell>
        </row>
        <row r="37">
          <cell r="D37">
            <v>639100</v>
          </cell>
        </row>
      </sheetData>
      <sheetData sheetId="15">
        <row r="6">
          <cell r="C6" t="str">
            <v>Base Level Amount (A.R.S. §15-901)</v>
          </cell>
        </row>
        <row r="7">
          <cell r="C7" t="str">
            <v>State Support Level per Route Mile (A.R.S. §15-945)</v>
          </cell>
        </row>
        <row r="8">
          <cell r="D8" t="str">
            <v>0.5 mile or less  OR  more than 1.0 mile</v>
          </cell>
        </row>
        <row r="9">
          <cell r="D9" t="str">
            <v>More than 0.5 mile through 1.0 mile</v>
          </cell>
        </row>
        <row r="10">
          <cell r="C10" t="str">
            <v>Qualifying Tax Rate for elementary or secondary (CTEDs use 0.05) (JLBC TNT rate memorandum)</v>
          </cell>
        </row>
        <row r="15">
          <cell r="C15" t="str">
            <v>Prior Years ADM (A.R.S. §§15-901 and 15-961)</v>
          </cell>
        </row>
        <row r="16">
          <cell r="C16" t="str">
            <v xml:space="preserve">FY 2023 100th-Day ADM </v>
          </cell>
        </row>
        <row r="17">
          <cell r="C17" t="str">
            <v>FY 2024 100th-Day ADM</v>
          </cell>
        </row>
        <row r="18">
          <cell r="C18" t="str">
            <v>Current Year ADM (A.R.S. §§15-943 and 15-808)</v>
          </cell>
        </row>
        <row r="19">
          <cell r="C19" t="str">
            <v>FY 2025 Estimated non-AOI student count</v>
          </cell>
        </row>
        <row r="20">
          <cell r="C20" t="str">
            <v>FY 2025 Estimated AOI full-time student count</v>
          </cell>
        </row>
        <row r="21">
          <cell r="C21" t="str">
            <v>FY 2025 Estimated AOI part-time student count</v>
          </cell>
        </row>
        <row r="22">
          <cell r="C22" t="str">
            <v>Total FY 2025 estimated student count</v>
          </cell>
        </row>
        <row r="44">
          <cell r="H44">
            <v>0</v>
          </cell>
        </row>
        <row r="46">
          <cell r="D46" t="str">
            <v>9-12</v>
          </cell>
        </row>
        <row r="47">
          <cell r="E47" t="str">
            <v>Check box(es) if the district's schools are designated as small isolated by the State Board of Education. (A.R.S. §15-901)</v>
          </cell>
        </row>
        <row r="51">
          <cell r="E51" t="str">
            <v>Check box if the district has been approved to provide at least 200 days of instruction by ADE. (A.R.S. §15-902.04)</v>
          </cell>
        </row>
      </sheetData>
      <sheetData sheetId="16">
        <row r="11">
          <cell r="I11" t="str">
            <v>9-12</v>
          </cell>
        </row>
        <row r="13">
          <cell r="I13">
            <v>1.669</v>
          </cell>
        </row>
        <row r="21">
          <cell r="C21" t="str">
            <v>Adjusted Support Level Weight</v>
          </cell>
        </row>
        <row r="49">
          <cell r="F49" t="str">
            <v>Table to calculate DAA per student count</v>
          </cell>
        </row>
        <row r="52">
          <cell r="F52" t="str">
            <v>DAA per Student Count</v>
          </cell>
        </row>
        <row r="55">
          <cell r="D55" t="str">
            <v>Student Count Constant</v>
          </cell>
        </row>
        <row r="56">
          <cell r="D56" t="str">
            <v xml:space="preserve">Student count </v>
          </cell>
        </row>
        <row r="57">
          <cell r="D57" t="str">
            <v>Difference</v>
          </cell>
        </row>
        <row r="59">
          <cell r="D59" t="str">
            <v>Support level weight increase</v>
          </cell>
        </row>
        <row r="60">
          <cell r="D60" t="str">
            <v xml:space="preserve">Support level weight  </v>
          </cell>
        </row>
      </sheetData>
      <sheetData sheetId="17">
        <row r="6">
          <cell r="C6" t="str">
            <v>Non-AOI
ADM</v>
          </cell>
          <cell r="D6" t="str">
            <v>AOI-FT 
ADM</v>
          </cell>
        </row>
        <row r="7">
          <cell r="C7">
            <v>55</v>
          </cell>
          <cell r="D7">
            <v>0</v>
          </cell>
        </row>
        <row r="8">
          <cell r="C8">
            <v>4907</v>
          </cell>
          <cell r="D8">
            <v>2</v>
          </cell>
        </row>
        <row r="9">
          <cell r="C9">
            <v>3343</v>
          </cell>
          <cell r="D9">
            <v>19</v>
          </cell>
        </row>
        <row r="10">
          <cell r="C10">
            <v>8305</v>
          </cell>
          <cell r="D10">
            <v>21</v>
          </cell>
        </row>
        <row r="12">
          <cell r="I12">
            <v>6.9189999999999996</v>
          </cell>
        </row>
        <row r="13">
          <cell r="I13">
            <v>10034.307000000001</v>
          </cell>
        </row>
        <row r="16">
          <cell r="C16" t="str">
            <v>Non-AOI
ADM</v>
          </cell>
          <cell r="D16" t="str">
            <v>AOI-FT 
ADM</v>
          </cell>
        </row>
        <row r="17">
          <cell r="C17">
            <v>380.01</v>
          </cell>
          <cell r="D17">
            <v>0</v>
          </cell>
        </row>
        <row r="18">
          <cell r="C18">
            <v>2098.7473</v>
          </cell>
          <cell r="D18">
            <v>0</v>
          </cell>
        </row>
        <row r="19">
          <cell r="C19">
            <v>2098.7473</v>
          </cell>
          <cell r="D19">
            <v>0</v>
          </cell>
        </row>
        <row r="20">
          <cell r="C20">
            <v>6.75</v>
          </cell>
          <cell r="D20">
            <v>0</v>
          </cell>
        </row>
        <row r="21">
          <cell r="C21">
            <v>52.770699999999998</v>
          </cell>
          <cell r="D21">
            <v>0</v>
          </cell>
        </row>
        <row r="22">
          <cell r="C22">
            <v>48.975000000000001</v>
          </cell>
          <cell r="D22">
            <v>0</v>
          </cell>
        </row>
        <row r="23">
          <cell r="C23">
            <v>8</v>
          </cell>
          <cell r="D23">
            <v>0</v>
          </cell>
        </row>
        <row r="24">
          <cell r="C24">
            <v>2</v>
          </cell>
          <cell r="D24">
            <v>0</v>
          </cell>
        </row>
        <row r="25">
          <cell r="D25">
            <v>0</v>
          </cell>
          <cell r="E25">
            <v>0</v>
          </cell>
        </row>
        <row r="26">
          <cell r="D26">
            <v>0</v>
          </cell>
          <cell r="E26">
            <v>0</v>
          </cell>
        </row>
        <row r="27">
          <cell r="D27">
            <v>0</v>
          </cell>
          <cell r="E27">
            <v>0</v>
          </cell>
        </row>
        <row r="28">
          <cell r="D28">
            <v>0</v>
          </cell>
          <cell r="E28">
            <v>0</v>
          </cell>
        </row>
        <row r="29">
          <cell r="E29">
            <v>0</v>
          </cell>
        </row>
        <row r="30">
          <cell r="D30">
            <v>0</v>
          </cell>
          <cell r="E30">
            <v>0</v>
          </cell>
        </row>
        <row r="31">
          <cell r="D31">
            <v>0</v>
          </cell>
          <cell r="E31">
            <v>0</v>
          </cell>
        </row>
        <row r="32">
          <cell r="D32">
            <v>0</v>
          </cell>
          <cell r="E32">
            <v>0</v>
          </cell>
        </row>
        <row r="33">
          <cell r="D33">
            <v>0</v>
          </cell>
          <cell r="E33">
            <v>0</v>
          </cell>
        </row>
        <row r="39">
          <cell r="D39" t="str">
            <v>Flagstaff Unified School District #1</v>
          </cell>
        </row>
        <row r="40">
          <cell r="D40" t="str">
            <v>Basic Calculations For Equalization Essistance</v>
          </cell>
        </row>
        <row r="41">
          <cell r="F41" t="str">
            <v>Is Small Isolated School District:</v>
          </cell>
        </row>
        <row r="43">
          <cell r="D43" t="str">
            <v>Non-AOI 
ADM</v>
          </cell>
          <cell r="F43" t="str">
            <v>AOI-FT 
ADM</v>
          </cell>
          <cell r="H43" t="str">
            <v>AOI-PT 
ADM</v>
          </cell>
        </row>
        <row r="44">
          <cell r="D44">
            <v>10000.98</v>
          </cell>
          <cell r="F44">
            <v>26.408000000000001</v>
          </cell>
          <cell r="H44">
            <v>6.9189999999999996</v>
          </cell>
        </row>
        <row r="45">
          <cell r="D45">
            <v>1662.5334</v>
          </cell>
          <cell r="E45" t="str">
            <v>+</v>
          </cell>
          <cell r="F45">
            <v>0</v>
          </cell>
          <cell r="H45">
            <v>0</v>
          </cell>
        </row>
        <row r="46">
          <cell r="D46">
            <v>11663.5134</v>
          </cell>
          <cell r="E46" t="str">
            <v>=</v>
          </cell>
          <cell r="F46">
            <v>26.408000000000001</v>
          </cell>
          <cell r="H46">
            <v>6.9189999999999996</v>
          </cell>
        </row>
        <row r="47">
          <cell r="D47">
            <v>1</v>
          </cell>
          <cell r="E47" t="str">
            <v>x</v>
          </cell>
          <cell r="F47">
            <v>0.95</v>
          </cell>
          <cell r="H47">
            <v>0.85</v>
          </cell>
        </row>
        <row r="48">
          <cell r="D48">
            <v>11663.5134</v>
          </cell>
          <cell r="F48">
            <v>25.087599999999998</v>
          </cell>
        </row>
        <row r="51">
          <cell r="H51">
            <v>11694.482156</v>
          </cell>
        </row>
      </sheetData>
      <sheetData sheetId="18">
        <row r="6">
          <cell r="C6" t="str">
            <v>Instructions for budget revision requirements have been incorporated into this document for each applicable line item. All lines that include revision instructions have a "Yes" in the Revision Instructions column to the right. To see only the revision instructions apply the filter so that only rows marked "Yes" will show. 
Prior to May 15 of the budget year, districts must make all of the revisions described in these instructions that would result in a decrease in budget limits and districts may make any of the described revisions that result in an increase in budget limits. Total expenditures in the Maintenance and Operation (M&amp;O), Unrestricted Capital Outlay (UCO), and Classroom Site Funds (CSF) must not exceed the adjusted General Budget Limit (GBL), Unrestricted Capital Budget Limit (UCBL), and Classroom Site Fund Budget Limit (CSFBL), respectively, as reported on pages 7, 8, and 3 of the latest revised budget. Therefore, if the net change to any of these budget limits is a decrease, the district must reduce budgeted expenditures in the related fund, to ensure that the budgeted amounts are within the prescribed limit. If the net change to any of these budget limits is an increase, the district may choose to revise budgeted expenditures in the related fund.</v>
          </cell>
          <cell r="D6" t="str">
            <v>Yes</v>
          </cell>
        </row>
        <row r="7">
          <cell r="C7" t="str">
            <v>All districts must revise the FY 2025 budget to include the 2024 (prior year) and 2025 (current year) 100th-Day ADM from the applicable year's ADM20 report.</v>
          </cell>
          <cell r="D7" t="str">
            <v>Yes</v>
          </cell>
        </row>
        <row r="8">
          <cell r="C8" t="str">
            <v>District tax rates for FY 2024 should be the actual tax rates set by the County Board of Supervisors in August 2023. Tax rates for FY 2025 should be the district’s best estimate. Districts should include detailed secondary tax rates for M and O, Special Program, and Capital Overrides; Class A Bonds; Class B Bonds; Career Technical Education District (CTED); and Desegregation. Class A Bonds are general obligation bonds approved by voters on or before December 31, 1998. Class B Bonds are general obligation bonds approved by voters after December 31, 1998.</v>
          </cell>
        </row>
        <row r="9">
          <cell r="C9" t="str">
            <v>In accordance with A.R.S. §15-903(E), a district's budget must include the prominent display of the average salary of all teachers employed by the district for the budget and prior years, and the increase in the average salary of all teachers employed by the district for the budget year reported in dollars and percentage. Districts must also prominently post this information on their website home pages separate from their budgets. The law does not provide a definition of a teacher. Districts should be consistent in the type of salary information included in this table from year to year. An optional comment box is available to provide details on the average teacher salary calculation used by the district.
Budget Revision
Districts should revise the average teacher salary information any time a revised budget is submitted to ADE.</v>
          </cell>
          <cell r="D9" t="str">
            <v>Yes</v>
          </cell>
        </row>
        <row r="10">
          <cell r="C10" t="str">
            <v xml:space="preserve">Fill in the contact information for all positions listed on this tab. If any of the positions don't exist at your district, please fill in the appropriate person to contact related to that topic.
Budget Revision
Districts should revise contact information, if necessary, any time a revised budget is submitted to ADE. </v>
          </cell>
          <cell r="D10" t="str">
            <v>Yes</v>
          </cell>
        </row>
        <row r="11">
          <cell r="C11" t="str">
            <v>Function code 2300, object code 6820-Judgments Against the District should be used to budget for excessive property tax valuation judgments to be paid in FY 2025. This amount should also be included on page 7, line 8(h). Pre-approval by ADE is required. Contact ADE’s School Finance payment team at the email address below.</v>
          </cell>
        </row>
        <row r="12">
          <cell r="C12" t="str">
            <v>SFPaymentTeam@azed.gov</v>
          </cell>
        </row>
        <row r="13">
          <cell r="C13" t="str">
            <v>Budget Revision
Districts participating in the National School Lunch Program that have not already budgeted for the state matching requirements, should include any amounts to be expended for their food service program in the M&amp;O Fund on this line before May 15. ADE’s Health &amp; Nutrition Services will verify that amounts budgeted were spent when the annual financial reports are submitted. Any questions related to the state matching requirements should be directed to ADE’s Health &amp; Nutrition Services at (602) 542-8700.</v>
          </cell>
          <cell r="D13" t="str">
            <v>Yes</v>
          </cell>
        </row>
        <row r="14">
          <cell r="C14" t="str">
            <v>A district authorized by ADE to continue participation in Dropout Prevention Programs for FY 2025 pursuant to Laws 1992, Ch. 305, §32 and Laws 2000, Ch. 398, Section 2, must budget the additional amount on this line.</v>
          </cell>
        </row>
        <row r="15">
          <cell r="C15" t="str">
            <v>A district that has entered into an intergovernmental agreement to establish a jointly owned and operated career and technical education and vocational education center, in accordance with A.R.S. §15-789, should budget for the center’s expenditures on this line. A.R.S. §15‑910.01 This provision does not apply to CTEDs established pursuant to A.R.S. §15-392. 
A.R.S. §15-910.01 requires the State Board of Education (SBE) approval prior to including an amount here. Currently, no districts have been authorized by the SBE.</v>
          </cell>
        </row>
        <row r="16">
          <cell r="C16" t="str">
            <v>Districts should budget for K-3 Reading Program expenditures on this line.  The State Board of Education must give approval to a district before any portion of the monies generated by the K-3 reading support level weight may be distributed to the district. A.R.S. §15-211
Contact ADE’s Move on When Reading program area with questions concerning the K-3 Reading plan requirement and approval status at the link below.</v>
          </cell>
        </row>
        <row r="17">
          <cell r="C17" t="str">
            <v>http://www.azed.gov/mowr/</v>
          </cell>
        </row>
        <row r="18">
          <cell r="C18" t="str">
            <v xml:space="preserve">All expenditures budgeted in the M&amp;O Fund for special education programs should be included regardless of the revenue source (e.g., state equalization assistance and property taxes). Districts should retain supporting documentation for the allocation of expenditures budgeted for individual special education programs. Supporting documentation should include a list of the programs, the number of teachers and students by program, and all computation work sheets. However, districts should budget total expenditures in Program 200—Special Education for disability classifications defined in A.R.S. §15-761 on line 1, Total All Disability Classifications.
</v>
          </cell>
        </row>
        <row r="19">
          <cell r="C19" t="str">
            <v xml:space="preserve">Program code 260—ELL Incremental Costs and program code 265—ELL Compensatory Instruction are required to track expenditures related to English Language Learners (ELL). See Supplement instructions for more information on ELL. </v>
          </cell>
        </row>
        <row r="20">
          <cell r="C20" t="str">
            <v>Enter the budgeted expenditures for nonfederal program and compliance audits (required object code 6350) to be paid from the M&amp;O Fund only, and the budgeted expenditures for federal single audits (optional object code 6330) from all funds.</v>
          </cell>
        </row>
        <row r="21">
          <cell r="C21" t="str">
            <v>Districts participating in the National School Lunch Program are required to budget a portion of their state revenues to support the operation of their food service program. Districts should budget in the M and O Fund any amounts that will be expended during the 2025 school year for the operation of the food service program. Any questions related to the state matching requirements should be directed to ADE’s Health and Nutrition Services at (602) 542‑8700. 
Budget Revision
Districts that have not already budgeted for the state matching requirements, should include any amounts to be expended for their food service program in the M and O Fund on this line before May 15. ADE’s Health and Nutrition Services will verify that amounts budgeted were spent when the annual financial reports are submitted.</v>
          </cell>
          <cell r="D21" t="str">
            <v>Yes</v>
          </cell>
        </row>
        <row r="22">
          <cell r="C22" t="str">
            <v xml:space="preserve">The Classroom Site Fund (CSF) is a budget-controlled fund that must be used to supplement, rather than supplant, existing monies. Expenditures made from the Classroom Site Fund (010) should be made in accordance with the requirements of A.R.S. §15-977. Districts may establish any CSF subfunds 011-019 to track monies for specific allowable purposes or separately account for carryover balances and other one-time CSF monies.  One total budget for all Classroom Site monies must be reported here, in Fund 010. 
 </v>
          </cell>
        </row>
        <row r="23">
          <cell r="C23" t="str">
            <v xml:space="preserve">Line 4 should include expenditures for teacher liability insurance premiums made from Fund 010. </v>
          </cell>
        </row>
        <row r="24">
          <cell r="C24" t="str">
            <v>The total amount budgeted on line 9 cannot exceed the CSFBL on line 16. The total amount budgeted in FY 2025 will affect the next year’s CSFBL. Districts should budget up to the Classroom Site Fund Budget Limit (CSFBL) as calculated on lines 10 through 16. See A.R.S. Section 15-978 and the calculation below.</v>
          </cell>
        </row>
        <row r="25">
          <cell r="D25" t="str">
            <v>Yes</v>
          </cell>
        </row>
        <row r="26">
          <cell r="D26" t="str">
            <v>Yes</v>
          </cell>
        </row>
        <row r="31">
          <cell r="D31" t="str">
            <v>Yes</v>
          </cell>
        </row>
        <row r="46">
          <cell r="D46" t="str">
            <v>Yes</v>
          </cell>
        </row>
        <row r="47">
          <cell r="D47" t="str">
            <v>Yes</v>
          </cell>
        </row>
        <row r="48">
          <cell r="D48" t="str">
            <v>Yes</v>
          </cell>
        </row>
        <row r="56">
          <cell r="D56" t="str">
            <v>Yes</v>
          </cell>
        </row>
        <row r="57">
          <cell r="D57" t="str">
            <v>Yes</v>
          </cell>
        </row>
        <row r="59">
          <cell r="D59" t="str">
            <v>Yes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gstevens@fusd1.org" TargetMode="External"/><Relationship Id="rId1" Type="http://schemas.openxmlformats.org/officeDocument/2006/relationships/hyperlink" Target="../../FY%202024%20Budget%20Forms/Prohibited%20formula%20characters/Files%20from%20ADE%203-27-23/Summ_Page1_StudentCou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34"/>
  <sheetViews>
    <sheetView showGridLines="0" tabSelected="1" workbookViewId="0">
      <selection activeCell="M26" sqref="M26"/>
    </sheetView>
  </sheetViews>
  <sheetFormatPr defaultColWidth="9.42578125" defaultRowHeight="12.75"/>
  <cols>
    <col min="1" max="1" width="20.42578125" style="6" customWidth="1"/>
    <col min="2" max="2" width="6.42578125" style="6" customWidth="1"/>
    <col min="3" max="3" width="10.5703125" style="6" customWidth="1"/>
    <col min="4" max="5" width="11" style="6" customWidth="1"/>
    <col min="6" max="7" width="5.5703125" style="6" customWidth="1"/>
    <col min="8" max="8" width="10.5703125" style="6" customWidth="1"/>
    <col min="9" max="9" width="11" style="6" customWidth="1"/>
    <col min="10" max="10" width="12.5703125" style="6" customWidth="1"/>
    <col min="11" max="12" width="5.5703125" style="6" customWidth="1"/>
    <col min="13" max="13" width="9.42578125" style="6" customWidth="1"/>
    <col min="14" max="14" width="7.5703125" style="6" customWidth="1"/>
    <col min="15" max="15" width="13" style="6" customWidth="1"/>
    <col min="16" max="17" width="9.42578125" style="6" customWidth="1"/>
    <col min="18" max="18" width="13.5703125" style="6" customWidth="1"/>
    <col min="19" max="22" width="9.42578125" style="6" customWidth="1"/>
    <col min="23" max="16384" width="9.42578125" style="6"/>
  </cols>
  <sheetData>
    <row r="1" spans="1:24" ht="12.75" customHeight="1">
      <c r="A1"/>
      <c r="B1" s="4" t="s">
        <v>17</v>
      </c>
      <c r="C1" s="5" t="str">
        <f>[1]Cover!$C$1</f>
        <v>Flagstaff Unified School District #1</v>
      </c>
      <c r="D1" s="5"/>
      <c r="F1"/>
      <c r="G1"/>
      <c r="H1"/>
      <c r="I1" s="4" t="s">
        <v>16</v>
      </c>
      <c r="J1" s="7" t="s">
        <v>141</v>
      </c>
      <c r="K1" s="8"/>
      <c r="L1" s="9"/>
      <c r="M1" s="10" t="s">
        <v>139</v>
      </c>
      <c r="N1" s="9"/>
      <c r="O1"/>
      <c r="P1" s="11"/>
      <c r="Q1" s="11"/>
      <c r="R1" s="11"/>
      <c r="S1" s="11"/>
      <c r="T1" s="11"/>
      <c r="U1" s="11"/>
      <c r="V1" s="11"/>
      <c r="W1" s="11"/>
      <c r="X1" s="12"/>
    </row>
    <row r="2" spans="1:24">
      <c r="A2" s="4"/>
      <c r="B2" s="4"/>
      <c r="C2" s="13"/>
      <c r="D2" s="4"/>
      <c r="E2" s="4"/>
      <c r="F2"/>
      <c r="G2"/>
      <c r="H2"/>
      <c r="I2" s="14"/>
      <c r="J2" s="9"/>
      <c r="K2" s="9"/>
      <c r="L2" s="9"/>
      <c r="M2" s="10" t="s">
        <v>140</v>
      </c>
      <c r="N2" s="9"/>
      <c r="O2"/>
      <c r="P2" s="11"/>
      <c r="Q2" s="11"/>
      <c r="R2" s="11"/>
      <c r="S2" s="11"/>
      <c r="T2" s="11"/>
      <c r="U2" s="11"/>
      <c r="V2" s="11"/>
      <c r="W2" s="11"/>
      <c r="X2" s="12"/>
    </row>
    <row r="3" spans="1:24" ht="29.25" customHeight="1">
      <c r="A3" s="282" t="str">
        <f>IF(ISNUMBER(SEARCH("Revised*",K22)),M1,M2)</f>
        <v>This is a notification that the above mentioned School District will be having a public hearing and board meeting to adopt its Fiscal Year 2025 Expenditure Budget.</v>
      </c>
      <c r="B3" s="282"/>
      <c r="C3" s="282"/>
      <c r="D3" s="282"/>
      <c r="E3" s="282"/>
      <c r="F3" s="282"/>
      <c r="G3" s="282"/>
      <c r="H3" s="282"/>
      <c r="I3" s="282"/>
      <c r="J3" s="282"/>
      <c r="K3" s="282"/>
      <c r="L3" s="282"/>
      <c r="M3"/>
      <c r="N3" s="11"/>
      <c r="O3"/>
      <c r="P3" s="11"/>
      <c r="Q3" s="11"/>
      <c r="R3" s="11"/>
      <c r="S3" s="11"/>
      <c r="T3" s="11"/>
      <c r="U3" s="11"/>
      <c r="V3" s="11"/>
      <c r="W3" s="11"/>
      <c r="X3" s="11"/>
    </row>
    <row r="4" spans="1:24">
      <c r="A4"/>
      <c r="B4"/>
      <c r="C4"/>
      <c r="D4"/>
      <c r="E4"/>
      <c r="F4"/>
      <c r="G4"/>
      <c r="H4"/>
      <c r="I4"/>
      <c r="J4"/>
      <c r="K4"/>
      <c r="L4"/>
      <c r="M4"/>
      <c r="N4"/>
      <c r="O4"/>
      <c r="P4"/>
      <c r="Q4"/>
      <c r="R4"/>
      <c r="S4"/>
      <c r="T4"/>
      <c r="U4"/>
      <c r="V4"/>
      <c r="W4"/>
      <c r="X4"/>
    </row>
    <row r="5" spans="1:24">
      <c r="A5"/>
      <c r="B5" s="4" t="s">
        <v>2</v>
      </c>
      <c r="C5" s="293">
        <v>45454</v>
      </c>
      <c r="D5" s="293"/>
      <c r="E5"/>
      <c r="F5"/>
      <c r="G5"/>
      <c r="H5" s="4" t="s">
        <v>3</v>
      </c>
      <c r="I5" s="294">
        <v>0.72916666666666663</v>
      </c>
      <c r="J5" s="294"/>
      <c r="K5" s="15"/>
      <c r="L5"/>
      <c r="M5"/>
      <c r="N5"/>
      <c r="O5"/>
      <c r="P5"/>
      <c r="Q5"/>
      <c r="R5"/>
      <c r="S5"/>
      <c r="T5"/>
      <c r="U5"/>
      <c r="V5"/>
      <c r="W5"/>
      <c r="X5"/>
    </row>
    <row r="6" spans="1:24">
      <c r="A6" s="4"/>
      <c r="B6" s="4"/>
      <c r="C6"/>
      <c r="D6"/>
      <c r="E6"/>
      <c r="F6"/>
      <c r="G6"/>
      <c r="H6"/>
      <c r="I6"/>
      <c r="J6"/>
      <c r="K6"/>
      <c r="L6"/>
      <c r="M6"/>
      <c r="N6"/>
      <c r="O6"/>
      <c r="P6"/>
      <c r="Q6"/>
      <c r="R6"/>
      <c r="S6"/>
      <c r="T6"/>
      <c r="U6"/>
      <c r="V6"/>
      <c r="W6"/>
      <c r="X6"/>
    </row>
    <row r="7" spans="1:24">
      <c r="A7" s="295" t="s">
        <v>15</v>
      </c>
      <c r="B7" s="295"/>
      <c r="C7" s="295"/>
      <c r="D7" s="295"/>
      <c r="E7" s="295"/>
      <c r="F7" s="295"/>
      <c r="G7" s="295"/>
      <c r="H7" s="295"/>
      <c r="I7" s="295"/>
      <c r="J7" s="295"/>
      <c r="K7" s="295"/>
      <c r="L7" s="295"/>
      <c r="M7"/>
      <c r="N7"/>
      <c r="O7"/>
      <c r="P7"/>
      <c r="Q7"/>
      <c r="R7"/>
      <c r="S7"/>
      <c r="T7"/>
      <c r="U7"/>
      <c r="V7"/>
      <c r="W7"/>
      <c r="X7"/>
    </row>
    <row r="8" spans="1:24">
      <c r="A8"/>
      <c r="B8" s="4" t="s">
        <v>4</v>
      </c>
      <c r="C8" s="313" t="s">
        <v>142</v>
      </c>
      <c r="D8" s="291"/>
      <c r="E8" s="291"/>
      <c r="F8" s="291"/>
      <c r="G8" s="291"/>
      <c r="H8" s="291"/>
      <c r="I8" s="291"/>
      <c r="J8"/>
      <c r="K8"/>
      <c r="L8"/>
      <c r="M8"/>
      <c r="N8"/>
      <c r="O8"/>
      <c r="P8"/>
      <c r="Q8"/>
      <c r="R8"/>
      <c r="S8"/>
      <c r="T8"/>
      <c r="U8"/>
      <c r="V8"/>
      <c r="W8"/>
      <c r="X8"/>
    </row>
    <row r="9" spans="1:24">
      <c r="A9"/>
      <c r="B9" s="4" t="s">
        <v>5</v>
      </c>
      <c r="C9" s="291"/>
      <c r="D9" s="291"/>
      <c r="E9" s="4" t="s">
        <v>7</v>
      </c>
      <c r="F9" s="296"/>
      <c r="G9" s="296"/>
      <c r="H9" s="296"/>
      <c r="I9" s="296"/>
      <c r="J9"/>
      <c r="K9"/>
      <c r="L9"/>
      <c r="M9"/>
      <c r="N9"/>
      <c r="O9"/>
      <c r="P9"/>
      <c r="Q9"/>
      <c r="R9"/>
      <c r="S9"/>
      <c r="T9"/>
      <c r="U9"/>
      <c r="V9"/>
      <c r="W9"/>
      <c r="X9"/>
    </row>
    <row r="10" spans="1:24">
      <c r="A10"/>
      <c r="B10" s="4" t="s">
        <v>6</v>
      </c>
      <c r="C10" s="314" t="s">
        <v>143</v>
      </c>
      <c r="D10" s="292"/>
      <c r="E10" s="4" t="s">
        <v>8</v>
      </c>
      <c r="F10" s="16" t="s">
        <v>0</v>
      </c>
      <c r="G10" s="13"/>
      <c r="H10" s="4" t="s">
        <v>9</v>
      </c>
      <c r="I10" s="1">
        <v>86004</v>
      </c>
      <c r="J10"/>
      <c r="K10"/>
      <c r="L10"/>
      <c r="M10"/>
      <c r="N10"/>
      <c r="O10"/>
      <c r="P10"/>
      <c r="Q10"/>
      <c r="R10"/>
      <c r="S10"/>
      <c r="T10"/>
      <c r="U10"/>
      <c r="V10"/>
      <c r="W10"/>
      <c r="X10"/>
    </row>
    <row r="11" spans="1:24">
      <c r="A11" s="4"/>
      <c r="B11" s="4"/>
      <c r="C11" s="4"/>
      <c r="D11" s="13"/>
      <c r="E11" s="4"/>
      <c r="F11" s="13"/>
      <c r="G11" s="13"/>
      <c r="H11"/>
      <c r="I11"/>
      <c r="J11"/>
      <c r="K11"/>
      <c r="L11"/>
      <c r="M11"/>
      <c r="N11"/>
      <c r="O11"/>
      <c r="P11"/>
      <c r="Q11"/>
      <c r="R11"/>
      <c r="S11"/>
      <c r="T11"/>
      <c r="U11"/>
      <c r="V11"/>
      <c r="W11"/>
      <c r="X11"/>
    </row>
    <row r="12" spans="1:24" ht="17.25" customHeight="1">
      <c r="A12" s="301" t="s">
        <v>1</v>
      </c>
      <c r="B12" s="301"/>
      <c r="C12" s="301"/>
      <c r="D12" s="301"/>
      <c r="E12" s="301"/>
      <c r="F12" s="301"/>
      <c r="G12" s="301"/>
      <c r="H12" s="301"/>
      <c r="I12" s="301"/>
      <c r="J12" s="301"/>
      <c r="K12" s="301"/>
      <c r="L12" s="301"/>
      <c r="M12"/>
      <c r="N12"/>
      <c r="O12"/>
      <c r="P12"/>
      <c r="Q12"/>
      <c r="R12"/>
      <c r="S12"/>
      <c r="T12"/>
      <c r="U12"/>
      <c r="V12"/>
      <c r="W12"/>
      <c r="X12"/>
    </row>
    <row r="13" spans="1:24">
      <c r="A13"/>
      <c r="B13" s="4" t="s">
        <v>10</v>
      </c>
      <c r="C13" s="315" t="s">
        <v>144</v>
      </c>
      <c r="D13" s="296"/>
      <c r="H13" s="4" t="s">
        <v>12</v>
      </c>
      <c r="I13" s="315" t="s">
        <v>145</v>
      </c>
      <c r="J13" s="296"/>
      <c r="K13" s="13"/>
      <c r="L13"/>
      <c r="M13"/>
      <c r="N13"/>
      <c r="O13"/>
      <c r="P13"/>
      <c r="Q13"/>
      <c r="R13"/>
      <c r="S13"/>
      <c r="T13"/>
      <c r="U13"/>
      <c r="V13"/>
      <c r="W13"/>
      <c r="X13"/>
    </row>
    <row r="14" spans="1:24">
      <c r="A14"/>
      <c r="B14" s="4" t="s">
        <v>11</v>
      </c>
      <c r="C14" s="316" t="s">
        <v>146</v>
      </c>
      <c r="D14" s="298"/>
      <c r="E14"/>
      <c r="F14"/>
      <c r="G14"/>
      <c r="H14" s="4" t="s">
        <v>13</v>
      </c>
      <c r="I14" s="298"/>
      <c r="J14" s="298"/>
      <c r="K14" s="13"/>
      <c r="L14"/>
      <c r="M14"/>
      <c r="N14"/>
      <c r="O14"/>
      <c r="P14"/>
      <c r="Q14"/>
      <c r="R14"/>
      <c r="S14"/>
      <c r="T14"/>
      <c r="U14"/>
      <c r="V14"/>
      <c r="W14"/>
      <c r="X14"/>
    </row>
    <row r="15" spans="1:24">
      <c r="H15"/>
      <c r="I15"/>
      <c r="J15"/>
      <c r="K15"/>
      <c r="L15"/>
      <c r="M15"/>
      <c r="N15"/>
      <c r="O15"/>
      <c r="P15"/>
      <c r="Q15"/>
      <c r="R15"/>
      <c r="S15"/>
      <c r="T15"/>
      <c r="U15"/>
      <c r="V15"/>
      <c r="W15"/>
      <c r="X15"/>
    </row>
    <row r="16" spans="1:24" ht="27.75" customHeight="1">
      <c r="A16" s="285" t="s">
        <v>18</v>
      </c>
      <c r="B16" s="285"/>
      <c r="C16" s="285"/>
      <c r="D16" s="285"/>
      <c r="E16" s="285"/>
      <c r="F16" s="285"/>
      <c r="G16" s="285"/>
      <c r="H16" s="285"/>
      <c r="I16" s="285"/>
      <c r="J16" s="285"/>
      <c r="K16" s="285"/>
      <c r="L16" s="285"/>
      <c r="M16" s="17"/>
      <c r="N16" s="17"/>
      <c r="O16" s="17"/>
      <c r="P16"/>
      <c r="Q16"/>
      <c r="R16"/>
      <c r="S16"/>
      <c r="T16"/>
      <c r="U16"/>
      <c r="V16"/>
      <c r="W16"/>
      <c r="X16"/>
    </row>
    <row r="17" spans="1:24">
      <c r="H17"/>
      <c r="I17"/>
      <c r="J17"/>
      <c r="K17"/>
      <c r="L17"/>
      <c r="M17"/>
      <c r="N17"/>
      <c r="O17"/>
      <c r="P17"/>
      <c r="Q17"/>
      <c r="R17"/>
      <c r="S17"/>
      <c r="T17"/>
      <c r="U17"/>
      <c r="V17"/>
      <c r="W17"/>
      <c r="X17"/>
    </row>
    <row r="18" spans="1:24">
      <c r="A18" s="286" t="s">
        <v>14</v>
      </c>
      <c r="B18" s="286"/>
      <c r="C18" s="286"/>
      <c r="D18" s="286"/>
      <c r="E18" s="286"/>
      <c r="F18" s="286"/>
      <c r="G18" s="18"/>
      <c r="H18"/>
      <c r="I18"/>
      <c r="J18"/>
      <c r="K18"/>
      <c r="L18"/>
      <c r="M18"/>
      <c r="N18"/>
      <c r="O18"/>
      <c r="P18"/>
      <c r="Q18"/>
      <c r="R18"/>
      <c r="S18"/>
      <c r="T18"/>
      <c r="U18"/>
      <c r="V18"/>
      <c r="W18"/>
      <c r="X18"/>
    </row>
    <row r="19" spans="1:24" ht="39" customHeight="1">
      <c r="A19" s="287"/>
      <c r="B19" s="288"/>
      <c r="C19" s="288"/>
      <c r="D19" s="288"/>
      <c r="E19" s="288"/>
      <c r="F19" s="288"/>
      <c r="G19" s="288"/>
      <c r="H19" s="288"/>
      <c r="I19" s="288"/>
      <c r="J19" s="288"/>
      <c r="K19" s="288"/>
      <c r="L19" s="289"/>
      <c r="M19"/>
      <c r="N19"/>
      <c r="O19"/>
      <c r="P19"/>
      <c r="Q19"/>
      <c r="R19"/>
      <c r="S19"/>
      <c r="T19"/>
      <c r="U19"/>
      <c r="V19"/>
      <c r="W19"/>
      <c r="X19"/>
    </row>
    <row r="20" spans="1:24">
      <c r="A20"/>
      <c r="B20"/>
      <c r="C20"/>
      <c r="D20"/>
      <c r="E20"/>
      <c r="F20"/>
      <c r="G20"/>
      <c r="H20"/>
      <c r="I20"/>
      <c r="J20"/>
      <c r="K20"/>
      <c r="L20"/>
      <c r="M20" s="19" t="s">
        <v>23</v>
      </c>
      <c r="N20"/>
      <c r="O20"/>
      <c r="P20"/>
      <c r="Q20"/>
      <c r="R20"/>
      <c r="S20"/>
      <c r="T20"/>
      <c r="U20"/>
      <c r="V20"/>
      <c r="W20"/>
      <c r="X20"/>
    </row>
    <row r="21" spans="1:24">
      <c r="A21" s="290" t="str">
        <f>IF(ISNUMBER(SEARCH("Revised*",K22)),M27,M26)</f>
        <v xml:space="preserve"> SUMMARY OF SCHOOL DISTRICT PROPOSED EXPENDITURE BUDGET</v>
      </c>
      <c r="B21" s="290"/>
      <c r="C21" s="290"/>
      <c r="D21" s="290"/>
      <c r="E21" s="290"/>
      <c r="F21" s="290"/>
      <c r="G21" s="290"/>
      <c r="H21" s="290"/>
      <c r="I21"/>
      <c r="J21" s="20" t="s">
        <v>19</v>
      </c>
      <c r="K21" s="304" t="str">
        <f>J1</f>
        <v>030201000</v>
      </c>
      <c r="L21" s="304"/>
      <c r="M21" s="19" t="s">
        <v>113</v>
      </c>
      <c r="N21"/>
      <c r="O21"/>
      <c r="P21"/>
      <c r="Q21"/>
      <c r="R21"/>
      <c r="S21"/>
      <c r="T21"/>
      <c r="U21"/>
      <c r="V21"/>
      <c r="W21"/>
      <c r="X21"/>
    </row>
    <row r="22" spans="1:24">
      <c r="A22" s="21"/>
      <c r="B22" s="21"/>
      <c r="C22" s="22"/>
      <c r="D22" s="22"/>
      <c r="E22" s="22"/>
      <c r="F22" s="22"/>
      <c r="G22" s="22"/>
      <c r="H22" s="22"/>
      <c r="I22"/>
      <c r="J22" s="23" t="s">
        <v>20</v>
      </c>
      <c r="K22" s="305" t="str">
        <f>[1]Cover!$C$8</f>
        <v>Proposed</v>
      </c>
      <c r="L22" s="305"/>
      <c r="M22"/>
      <c r="N22"/>
      <c r="O22"/>
      <c r="P22"/>
      <c r="Q22"/>
      <c r="R22"/>
      <c r="S22"/>
      <c r="T22"/>
      <c r="U22"/>
      <c r="V22"/>
      <c r="W22"/>
      <c r="X22"/>
    </row>
    <row r="23" spans="1:24">
      <c r="A23" s="24" t="s">
        <v>21</v>
      </c>
      <c r="B23" s="302" t="s">
        <v>147</v>
      </c>
      <c r="C23" s="302"/>
      <c r="D23" s="302"/>
      <c r="E23" s="25" t="s">
        <v>22</v>
      </c>
      <c r="F23" s="297" t="s">
        <v>148</v>
      </c>
      <c r="G23" s="297"/>
      <c r="H23" s="26" t="s">
        <v>131</v>
      </c>
      <c r="I23" s="26"/>
      <c r="J23" s="26"/>
      <c r="K23" s="26"/>
      <c r="L23"/>
      <c r="M23" s="19" t="s">
        <v>132</v>
      </c>
      <c r="N23"/>
      <c r="O23"/>
      <c r="P23"/>
      <c r="Q23"/>
      <c r="R23"/>
      <c r="S23"/>
      <c r="T23"/>
      <c r="U23"/>
      <c r="V23"/>
      <c r="W23"/>
      <c r="X23"/>
    </row>
    <row r="24" spans="1:24">
      <c r="A24" s="27" t="str">
        <f>IF(ISNUMBER(SEARCH("Revised*",K22)),M20,M21)</f>
        <v>proposed by the Governing Board on</v>
      </c>
      <c r="B24" s="27"/>
      <c r="C24" s="2" t="s">
        <v>149</v>
      </c>
      <c r="D24" s="27" t="str">
        <f>IF(ISNUMBER(SEARCH("Revised*",K22)),M23,M24)</f>
        <v>, 2024, and that the complete Proposed Expenditure Budget may be reviewed by contacting</v>
      </c>
      <c r="E24" s="27"/>
      <c r="F24"/>
      <c r="G24" s="27"/>
      <c r="H24" s="27"/>
      <c r="I24" s="27"/>
      <c r="J24" s="27"/>
      <c r="K24" s="27"/>
      <c r="L24" s="27"/>
      <c r="M24" s="19" t="s">
        <v>133</v>
      </c>
      <c r="N24"/>
      <c r="O24"/>
      <c r="P24"/>
      <c r="Q24"/>
      <c r="R24"/>
      <c r="S24"/>
      <c r="T24"/>
      <c r="U24"/>
      <c r="V24"/>
      <c r="W24"/>
      <c r="X24"/>
    </row>
    <row r="25" spans="1:24">
      <c r="A25" s="3" t="s">
        <v>144</v>
      </c>
      <c r="B25" s="303" t="s">
        <v>114</v>
      </c>
      <c r="C25" s="303"/>
      <c r="D25" s="303"/>
      <c r="E25" s="230" t="s">
        <v>145</v>
      </c>
      <c r="F25" s="230"/>
      <c r="G25" s="230"/>
      <c r="H25" s="283" t="s">
        <v>24</v>
      </c>
      <c r="I25" s="283"/>
      <c r="J25" s="283"/>
      <c r="K25" s="27"/>
      <c r="L25"/>
      <c r="M25"/>
      <c r="N25"/>
      <c r="O25"/>
      <c r="P25"/>
      <c r="Q25"/>
      <c r="R25"/>
      <c r="S25"/>
      <c r="T25"/>
      <c r="U25"/>
      <c r="V25"/>
      <c r="W25"/>
      <c r="X25"/>
    </row>
    <row r="26" spans="1:24">
      <c r="A26" s="28"/>
      <c r="B26" s="28"/>
      <c r="C26" s="29"/>
      <c r="D26" s="29"/>
      <c r="E26" s="284"/>
      <c r="F26" s="284"/>
      <c r="G26" s="284"/>
      <c r="H26" s="284"/>
      <c r="I26" s="28"/>
      <c r="J26" s="28"/>
      <c r="K26" s="28"/>
      <c r="L26"/>
      <c r="M26" s="30" t="s">
        <v>117</v>
      </c>
      <c r="N26"/>
      <c r="O26"/>
      <c r="P26"/>
      <c r="Q26"/>
      <c r="R26"/>
      <c r="S26"/>
      <c r="T26"/>
      <c r="U26"/>
      <c r="V26"/>
      <c r="W26"/>
      <c r="X26"/>
    </row>
    <row r="27" spans="1:24">
      <c r="A27" s="28"/>
      <c r="B27" s="28"/>
      <c r="C27" s="29"/>
      <c r="D27" s="29"/>
      <c r="E27" s="306" t="s">
        <v>25</v>
      </c>
      <c r="F27" s="306"/>
      <c r="G27" s="306"/>
      <c r="H27" s="306"/>
      <c r="I27" s="28"/>
      <c r="J27" s="28"/>
      <c r="K27" s="28"/>
      <c r="L27"/>
      <c r="M27" s="30" t="s">
        <v>116</v>
      </c>
      <c r="N27"/>
      <c r="O27"/>
      <c r="P27"/>
      <c r="Q27"/>
      <c r="R27"/>
      <c r="S27"/>
      <c r="T27"/>
      <c r="U27"/>
      <c r="V27"/>
      <c r="W27"/>
      <c r="X27"/>
    </row>
    <row r="28" spans="1:24" ht="8.25" customHeight="1">
      <c r="A28" s="31"/>
      <c r="B28" s="31"/>
      <c r="C28" s="31"/>
      <c r="D28" s="31"/>
      <c r="E28" s="31"/>
      <c r="F28" s="31"/>
      <c r="G28" s="31"/>
      <c r="H28" s="28"/>
      <c r="I28" s="28"/>
      <c r="J28" s="28"/>
      <c r="K28" s="28"/>
      <c r="L28"/>
      <c r="M28"/>
      <c r="N28"/>
      <c r="O28"/>
      <c r="P28"/>
      <c r="Q28"/>
      <c r="R28"/>
      <c r="S28"/>
      <c r="T28"/>
      <c r="U28"/>
      <c r="V28"/>
      <c r="W28"/>
      <c r="X28"/>
    </row>
    <row r="29" spans="1:24" ht="11.25" customHeight="1">
      <c r="A29" s="32" t="s">
        <v>26</v>
      </c>
      <c r="B29" s="33"/>
      <c r="C29" s="34"/>
      <c r="D29" s="35" t="s">
        <v>28</v>
      </c>
      <c r="E29" s="35" t="s">
        <v>29</v>
      </c>
      <c r="F29" s="36" t="s">
        <v>127</v>
      </c>
      <c r="G29" s="37"/>
      <c r="H29" s="38"/>
      <c r="I29" s="39"/>
      <c r="J29" s="39"/>
      <c r="K29" s="39"/>
      <c r="L29" s="40"/>
      <c r="M29"/>
      <c r="N29"/>
      <c r="O29"/>
      <c r="P29"/>
      <c r="Q29"/>
      <c r="R29"/>
      <c r="S29"/>
      <c r="T29"/>
      <c r="U29"/>
      <c r="V29"/>
      <c r="W29"/>
      <c r="X29"/>
    </row>
    <row r="30" spans="1:24" ht="9.75" customHeight="1">
      <c r="A30" s="41"/>
      <c r="B30" s="31"/>
      <c r="C30" s="183" t="s">
        <v>136</v>
      </c>
      <c r="D30" s="183" t="s">
        <v>137</v>
      </c>
      <c r="E30" s="183" t="s">
        <v>138</v>
      </c>
      <c r="F30" s="182" t="s">
        <v>134</v>
      </c>
      <c r="G30" s="42"/>
      <c r="H30" s="43"/>
      <c r="I30" s="44"/>
      <c r="K30" s="307">
        <f>[1]!BudgetYearSalarySumm</f>
        <v>58637</v>
      </c>
      <c r="L30" s="308"/>
      <c r="M30"/>
      <c r="N30"/>
      <c r="O30"/>
      <c r="P30"/>
      <c r="Q30"/>
      <c r="R30"/>
      <c r="S30"/>
      <c r="T30"/>
      <c r="U30"/>
      <c r="V30"/>
      <c r="W30"/>
      <c r="X30"/>
    </row>
    <row r="31" spans="1:24" ht="11.25" customHeight="1">
      <c r="A31" s="299" t="s">
        <v>30</v>
      </c>
      <c r="B31" s="45"/>
      <c r="C31" s="46"/>
      <c r="D31" s="46"/>
      <c r="E31" s="47"/>
      <c r="F31" s="182" t="s">
        <v>135</v>
      </c>
      <c r="G31" s="42"/>
      <c r="H31" s="43"/>
      <c r="I31" s="44"/>
      <c r="K31" s="309">
        <f>[1]!PriorYearSalarySumm</f>
        <v>57544</v>
      </c>
      <c r="L31" s="310"/>
      <c r="M31"/>
      <c r="N31"/>
      <c r="O31"/>
      <c r="P31"/>
      <c r="Q31"/>
      <c r="R31"/>
      <c r="S31"/>
      <c r="T31"/>
      <c r="U31"/>
      <c r="V31"/>
      <c r="W31"/>
      <c r="X31"/>
    </row>
    <row r="32" spans="1:24" ht="10.5" customHeight="1">
      <c r="A32" s="300"/>
      <c r="B32" s="48"/>
      <c r="C32" s="49">
        <f>[1]!TwoPriorYearADM</f>
        <v>8578.0622999999996</v>
      </c>
      <c r="D32" s="49">
        <f>[1]!PriorYearADM</f>
        <v>8354.2139999999999</v>
      </c>
      <c r="E32" s="50">
        <f>[1]!BudgetYearADM</f>
        <v>8605.5</v>
      </c>
      <c r="F32" s="51" t="s">
        <v>103</v>
      </c>
      <c r="G32" s="42"/>
      <c r="H32" s="43"/>
      <c r="I32" s="44"/>
      <c r="K32" s="311">
        <f>[1]!SalaryIncreaseSumm</f>
        <v>1093</v>
      </c>
      <c r="L32" s="312"/>
      <c r="M32"/>
      <c r="N32"/>
      <c r="O32"/>
      <c r="P32"/>
      <c r="Q32"/>
      <c r="R32"/>
      <c r="S32"/>
      <c r="T32"/>
      <c r="U32"/>
      <c r="V32"/>
      <c r="W32"/>
      <c r="X32"/>
    </row>
    <row r="33" spans="1:24" ht="11.25" customHeight="1">
      <c r="A33" s="52" t="s">
        <v>27</v>
      </c>
      <c r="B33" s="53"/>
      <c r="C33" s="53"/>
      <c r="D33" s="54" t="s">
        <v>39</v>
      </c>
      <c r="E33" s="54" t="s">
        <v>105</v>
      </c>
      <c r="F33" s="51" t="s">
        <v>104</v>
      </c>
      <c r="G33" s="42"/>
      <c r="H33" s="43"/>
      <c r="I33" s="44"/>
      <c r="K33" s="228">
        <f>[1]!PercentageIncreaseSumm</f>
        <v>0.02</v>
      </c>
      <c r="L33" s="229"/>
      <c r="M33"/>
      <c r="N33"/>
      <c r="O33"/>
      <c r="P33"/>
      <c r="Q33"/>
      <c r="R33"/>
      <c r="S33"/>
      <c r="T33"/>
      <c r="U33"/>
      <c r="V33"/>
      <c r="W33"/>
      <c r="X33"/>
    </row>
    <row r="34" spans="1:24" ht="11.25" customHeight="1">
      <c r="A34" s="258" t="s">
        <v>106</v>
      </c>
      <c r="B34" s="259"/>
      <c r="C34" s="260"/>
      <c r="D34" s="248">
        <f>[1]!PrimTaxRatePYSumm</f>
        <v>3.5061</v>
      </c>
      <c r="E34" s="261">
        <f>[1]!EstTaxRateBudgFYSumm</f>
        <v>3.3944000000000001</v>
      </c>
      <c r="F34" s="55"/>
      <c r="G34" s="55"/>
      <c r="H34" s="56"/>
      <c r="I34" s="56"/>
      <c r="J34" s="56"/>
      <c r="K34" s="56"/>
      <c r="L34" s="57"/>
      <c r="M34"/>
      <c r="N34"/>
      <c r="O34"/>
      <c r="P34"/>
      <c r="Q34"/>
      <c r="R34"/>
      <c r="S34"/>
      <c r="T34"/>
      <c r="U34"/>
      <c r="V34"/>
      <c r="W34"/>
      <c r="X34"/>
    </row>
    <row r="35" spans="1:24" ht="12.75" customHeight="1">
      <c r="A35" s="258"/>
      <c r="B35" s="259"/>
      <c r="C35" s="260"/>
      <c r="D35" s="249"/>
      <c r="E35" s="262"/>
      <c r="F35" s="273" t="str">
        <f>IF([1]!SalaryCommentsSumm="","",[1]!SalaryCommentsSumm)</f>
        <v xml:space="preserve">Comments on average salary calculation (Optional): </v>
      </c>
      <c r="G35" s="274"/>
      <c r="H35" s="274"/>
      <c r="I35" s="274"/>
      <c r="J35" s="274"/>
      <c r="K35" s="274"/>
      <c r="L35" s="275"/>
      <c r="M35"/>
      <c r="N35"/>
      <c r="O35"/>
      <c r="P35"/>
      <c r="Q35" s="58"/>
      <c r="R35" s="59"/>
      <c r="S35" s="58"/>
      <c r="T35" s="59"/>
      <c r="U35" s="59"/>
      <c r="V35"/>
      <c r="W35"/>
      <c r="X35"/>
    </row>
    <row r="36" spans="1:24" ht="9.75" customHeight="1">
      <c r="A36" s="258"/>
      <c r="B36" s="259"/>
      <c r="C36" s="260"/>
      <c r="D36" s="250"/>
      <c r="E36" s="263"/>
      <c r="F36" s="276"/>
      <c r="G36" s="277"/>
      <c r="H36" s="277"/>
      <c r="I36" s="277"/>
      <c r="J36" s="277"/>
      <c r="K36" s="277"/>
      <c r="L36" s="278"/>
      <c r="M36"/>
      <c r="N36"/>
      <c r="O36"/>
      <c r="P36"/>
      <c r="Q36" s="60"/>
      <c r="R36" s="61"/>
      <c r="S36" s="62"/>
      <c r="T36" s="62"/>
      <c r="U36" s="59"/>
      <c r="V36"/>
      <c r="W36"/>
      <c r="X36"/>
    </row>
    <row r="37" spans="1:24" ht="12" customHeight="1">
      <c r="A37" s="267" t="s">
        <v>115</v>
      </c>
      <c r="B37" s="268"/>
      <c r="C37" s="269"/>
      <c r="D37" s="264">
        <f>[1]!SecTaxRatePYSumm</f>
        <v>1.3382000000000001</v>
      </c>
      <c r="E37" s="265">
        <f>[1]!SecTaxRateBudgFYSumm</f>
        <v>1.1861999999999999</v>
      </c>
      <c r="F37" s="276"/>
      <c r="G37" s="277"/>
      <c r="H37" s="277"/>
      <c r="I37" s="277"/>
      <c r="J37" s="277"/>
      <c r="K37" s="277"/>
      <c r="L37" s="278"/>
      <c r="M37"/>
      <c r="N37"/>
      <c r="O37"/>
      <c r="P37"/>
      <c r="Q37" s="60"/>
      <c r="R37" s="43"/>
      <c r="S37" s="44"/>
      <c r="U37" s="63"/>
      <c r="V37"/>
      <c r="W37"/>
      <c r="X37"/>
    </row>
    <row r="38" spans="1:24" ht="11.25" customHeight="1">
      <c r="A38" s="267"/>
      <c r="B38" s="268"/>
      <c r="C38" s="269"/>
      <c r="D38" s="249"/>
      <c r="E38" s="262"/>
      <c r="F38" s="276"/>
      <c r="G38" s="277"/>
      <c r="H38" s="277"/>
      <c r="I38" s="277"/>
      <c r="J38" s="277"/>
      <c r="K38" s="277"/>
      <c r="L38" s="278"/>
      <c r="M38"/>
      <c r="N38"/>
      <c r="O38"/>
      <c r="P38"/>
      <c r="Q38" s="60"/>
      <c r="R38" s="43"/>
      <c r="S38" s="44"/>
      <c r="U38" s="63"/>
      <c r="V38"/>
      <c r="W38"/>
      <c r="X38"/>
    </row>
    <row r="39" spans="1:24" ht="10.5" customHeight="1">
      <c r="A39" s="270"/>
      <c r="B39" s="271"/>
      <c r="C39" s="272"/>
      <c r="D39" s="250"/>
      <c r="E39" s="266"/>
      <c r="F39" s="276"/>
      <c r="G39" s="277"/>
      <c r="H39" s="277"/>
      <c r="I39" s="277"/>
      <c r="J39" s="277"/>
      <c r="K39" s="277"/>
      <c r="L39" s="278"/>
      <c r="M39"/>
      <c r="N39"/>
      <c r="O39"/>
      <c r="P39"/>
      <c r="Q39" s="60"/>
      <c r="R39" s="43"/>
      <c r="S39" s="44"/>
      <c r="U39" s="63"/>
      <c r="V39"/>
      <c r="W39"/>
      <c r="X39"/>
    </row>
    <row r="40" spans="1:24">
      <c r="A40" s="64" t="s">
        <v>112</v>
      </c>
      <c r="B40" s="65"/>
      <c r="C40" s="31"/>
      <c r="D40" s="66" t="s">
        <v>110</v>
      </c>
      <c r="E40" s="67"/>
      <c r="F40" s="276"/>
      <c r="G40" s="277"/>
      <c r="H40" s="277"/>
      <c r="I40" s="277"/>
      <c r="J40" s="277"/>
      <c r="K40" s="277"/>
      <c r="L40" s="278"/>
      <c r="M40"/>
      <c r="N40"/>
      <c r="O40"/>
      <c r="P40"/>
      <c r="Q40" s="60"/>
      <c r="R40" s="43"/>
      <c r="S40" s="44"/>
      <c r="U40" s="68"/>
      <c r="V40"/>
      <c r="W40"/>
      <c r="X40"/>
    </row>
    <row r="41" spans="1:24" ht="11.25" customHeight="1">
      <c r="A41" s="69"/>
      <c r="B41"/>
      <c r="C41" s="31"/>
      <c r="D41" s="25" t="s">
        <v>111</v>
      </c>
      <c r="E41" s="70" t="s">
        <v>118</v>
      </c>
      <c r="F41" s="276"/>
      <c r="G41" s="277"/>
      <c r="H41" s="277"/>
      <c r="I41" s="277"/>
      <c r="J41" s="277"/>
      <c r="K41" s="277"/>
      <c r="L41" s="278"/>
      <c r="M41"/>
      <c r="N41"/>
      <c r="O41"/>
      <c r="P41"/>
      <c r="Q41"/>
      <c r="R41"/>
      <c r="S41"/>
      <c r="T41"/>
      <c r="U41"/>
      <c r="V41"/>
      <c r="W41"/>
      <c r="X41"/>
    </row>
    <row r="42" spans="1:24" ht="14.25" customHeight="1">
      <c r="A42" s="71" t="s">
        <v>107</v>
      </c>
      <c r="B42" s="65"/>
      <c r="D42" s="72">
        <f>[1]!F001TotalExpSumm</f>
        <v>78234794</v>
      </c>
      <c r="E42" s="73">
        <f>[1]!GBLBudgFYSumm</f>
        <v>78234794</v>
      </c>
      <c r="F42" s="276"/>
      <c r="G42" s="277"/>
      <c r="H42" s="277"/>
      <c r="I42" s="277"/>
      <c r="J42" s="277"/>
      <c r="K42" s="277"/>
      <c r="L42" s="278"/>
      <c r="M42"/>
      <c r="N42"/>
      <c r="O42"/>
      <c r="P42"/>
      <c r="Q42"/>
      <c r="R42"/>
      <c r="S42"/>
      <c r="T42"/>
      <c r="U42"/>
      <c r="V42"/>
      <c r="W42"/>
      <c r="X42"/>
    </row>
    <row r="43" spans="1:24" ht="12" customHeight="1">
      <c r="A43" s="71" t="s">
        <v>108</v>
      </c>
      <c r="B43" s="65"/>
      <c r="D43" s="74">
        <f>[1]!CSFExpBudgFYSumm</f>
        <v>12904925</v>
      </c>
      <c r="E43" s="75">
        <f>[1]!CSFBLBudgFYSumm</f>
        <v>12904925</v>
      </c>
      <c r="F43" s="276"/>
      <c r="G43" s="277"/>
      <c r="H43" s="277"/>
      <c r="I43" s="277"/>
      <c r="J43" s="277"/>
      <c r="K43" s="277"/>
      <c r="L43" s="278"/>
      <c r="M43"/>
      <c r="N43"/>
      <c r="O43"/>
      <c r="P43"/>
      <c r="Q43"/>
      <c r="R43"/>
      <c r="S43"/>
      <c r="T43"/>
      <c r="U43"/>
      <c r="V43"/>
      <c r="W43"/>
      <c r="X43"/>
    </row>
    <row r="44" spans="1:24" ht="12" customHeight="1">
      <c r="A44" s="76" t="s">
        <v>109</v>
      </c>
      <c r="B44" s="77"/>
      <c r="C44" s="78"/>
      <c r="D44" s="79">
        <f>[1]!UCOBudgFYSumm</f>
        <v>6390999</v>
      </c>
      <c r="E44" s="80">
        <f>[1]!UCBLBudgFYSumm</f>
        <v>6390999</v>
      </c>
      <c r="F44" s="279"/>
      <c r="G44" s="280"/>
      <c r="H44" s="280"/>
      <c r="I44" s="280"/>
      <c r="J44" s="280"/>
      <c r="K44" s="280"/>
      <c r="L44" s="281"/>
      <c r="M44"/>
      <c r="N44"/>
      <c r="O44"/>
      <c r="P44"/>
      <c r="Q44"/>
      <c r="R44"/>
      <c r="S44"/>
      <c r="T44"/>
      <c r="U44"/>
      <c r="V44"/>
      <c r="W44"/>
      <c r="X44"/>
    </row>
    <row r="45" spans="1:24" ht="6.75" customHeight="1">
      <c r="A45" s="21"/>
      <c r="B45" s="21"/>
      <c r="C45" s="81"/>
      <c r="D45" s="254"/>
      <c r="E45" s="254"/>
      <c r="F45" s="254"/>
      <c r="G45" s="254"/>
      <c r="H45" s="254"/>
      <c r="I45" s="254"/>
      <c r="J45" s="254"/>
      <c r="K45" s="254"/>
      <c r="L45" s="255"/>
      <c r="M45"/>
      <c r="N45"/>
      <c r="O45"/>
      <c r="P45"/>
      <c r="Q45"/>
      <c r="R45"/>
      <c r="S45"/>
      <c r="T45"/>
      <c r="U45"/>
      <c r="V45"/>
      <c r="W45"/>
      <c r="X45"/>
    </row>
    <row r="46" spans="1:24" ht="4.5" customHeight="1">
      <c r="A46" s="82"/>
      <c r="B46" s="82"/>
      <c r="C46" s="82"/>
      <c r="D46" s="256"/>
      <c r="E46" s="256"/>
      <c r="F46" s="256"/>
      <c r="G46" s="256"/>
      <c r="H46" s="256"/>
      <c r="I46" s="256"/>
      <c r="J46" s="256"/>
      <c r="K46" s="256"/>
      <c r="L46" s="257"/>
      <c r="M46"/>
      <c r="N46"/>
      <c r="O46"/>
      <c r="P46"/>
      <c r="Q46"/>
      <c r="R46"/>
      <c r="S46"/>
      <c r="T46"/>
      <c r="U46"/>
      <c r="V46"/>
      <c r="W46"/>
      <c r="X46"/>
    </row>
    <row r="47" spans="1:24">
      <c r="A47" s="83" t="s">
        <v>32</v>
      </c>
      <c r="B47" s="84"/>
      <c r="C47" s="85"/>
      <c r="D47" s="85"/>
      <c r="E47" s="86"/>
      <c r="F47" s="86"/>
      <c r="G47" s="86"/>
      <c r="H47" s="86"/>
      <c r="I47" s="86"/>
      <c r="J47" s="86"/>
      <c r="K47" s="86"/>
      <c r="L47" s="87"/>
      <c r="M47"/>
      <c r="N47"/>
      <c r="O47"/>
      <c r="P47"/>
      <c r="Q47"/>
      <c r="R47"/>
      <c r="S47"/>
      <c r="T47"/>
      <c r="U47"/>
      <c r="V47"/>
      <c r="W47"/>
      <c r="X47"/>
    </row>
    <row r="48" spans="1:24">
      <c r="A48" s="88"/>
      <c r="B48" s="31"/>
      <c r="C48" s="89"/>
      <c r="D48" s="52"/>
      <c r="E48" s="90"/>
      <c r="F48" s="28"/>
      <c r="G48" s="28"/>
      <c r="H48" s="91"/>
      <c r="I48" s="92" t="s">
        <v>33</v>
      </c>
      <c r="J48" s="91"/>
      <c r="K48" s="232" t="s">
        <v>34</v>
      </c>
      <c r="L48" s="233"/>
      <c r="M48"/>
      <c r="N48"/>
      <c r="O48"/>
      <c r="P48"/>
      <c r="Q48"/>
      <c r="R48"/>
      <c r="S48"/>
      <c r="T48"/>
      <c r="U48"/>
      <c r="V48"/>
      <c r="W48"/>
      <c r="X48"/>
    </row>
    <row r="49" spans="1:24">
      <c r="A49" s="88"/>
      <c r="B49" s="31"/>
      <c r="C49" s="31"/>
      <c r="D49" s="94" t="s">
        <v>35</v>
      </c>
      <c r="E49" s="95"/>
      <c r="F49" s="96" t="s">
        <v>36</v>
      </c>
      <c r="G49" s="97"/>
      <c r="H49" s="95"/>
      <c r="I49" s="94" t="s">
        <v>37</v>
      </c>
      <c r="J49" s="95"/>
      <c r="K49" s="202" t="s">
        <v>38</v>
      </c>
      <c r="L49" s="234"/>
      <c r="M49"/>
      <c r="N49"/>
      <c r="O49"/>
      <c r="P49"/>
      <c r="Q49"/>
      <c r="R49"/>
      <c r="S49"/>
      <c r="T49"/>
      <c r="U49"/>
      <c r="V49"/>
      <c r="W49"/>
      <c r="X49"/>
    </row>
    <row r="50" spans="1:24">
      <c r="A50" s="88"/>
      <c r="B50" s="31"/>
      <c r="C50" s="31"/>
      <c r="D50" s="99" t="s">
        <v>39</v>
      </c>
      <c r="E50" s="99" t="s">
        <v>31</v>
      </c>
      <c r="F50" s="232" t="s">
        <v>39</v>
      </c>
      <c r="G50" s="238"/>
      <c r="H50" s="99" t="s">
        <v>31</v>
      </c>
      <c r="I50" s="99" t="s">
        <v>39</v>
      </c>
      <c r="J50" s="99" t="s">
        <v>31</v>
      </c>
      <c r="K50" s="202" t="s">
        <v>39</v>
      </c>
      <c r="L50" s="234"/>
      <c r="M50"/>
      <c r="N50"/>
      <c r="O50"/>
      <c r="P50"/>
      <c r="Q50"/>
      <c r="R50"/>
      <c r="S50"/>
      <c r="T50"/>
      <c r="U50"/>
      <c r="V50"/>
      <c r="W50"/>
      <c r="X50"/>
    </row>
    <row r="51" spans="1:24">
      <c r="A51" s="88"/>
      <c r="B51" s="31"/>
      <c r="C51" s="31"/>
      <c r="D51" s="100"/>
      <c r="E51" s="100"/>
      <c r="F51" s="239"/>
      <c r="G51" s="240"/>
      <c r="H51" s="100"/>
      <c r="I51" s="100"/>
      <c r="J51" s="100"/>
      <c r="K51" s="204"/>
      <c r="L51" s="235"/>
      <c r="M51"/>
      <c r="N51"/>
      <c r="O51"/>
      <c r="P51"/>
      <c r="Q51"/>
      <c r="R51"/>
      <c r="S51"/>
      <c r="T51"/>
      <c r="U51"/>
      <c r="V51"/>
      <c r="W51"/>
      <c r="X51"/>
    </row>
    <row r="52" spans="1:24">
      <c r="A52" s="103" t="s">
        <v>40</v>
      </c>
      <c r="B52" s="104"/>
      <c r="C52" s="31"/>
      <c r="D52" s="220">
        <f>'[1]Summary Page 1'!$C$32</f>
        <v>0</v>
      </c>
      <c r="E52" s="220">
        <f>[1]!F001P100F1000SBBudgFY</f>
        <v>30729579</v>
      </c>
      <c r="F52" s="241">
        <f>'[1]Summary Page 1'!$E$32</f>
        <v>0</v>
      </c>
      <c r="G52" s="242"/>
      <c r="H52" s="245">
        <f>[1]!F001P100F1000OthBudgFY</f>
        <v>1188000</v>
      </c>
      <c r="I52" s="220">
        <f>D52+F52</f>
        <v>0</v>
      </c>
      <c r="J52" s="245">
        <f>E52+H52</f>
        <v>31917579</v>
      </c>
      <c r="K52" s="224" t="str">
        <f>IF(I52=J52,0,IF(I52&gt;0,(J52-I52)/I52,"--"))</f>
        <v>--</v>
      </c>
      <c r="L52" s="236"/>
      <c r="M52"/>
      <c r="N52"/>
      <c r="O52"/>
      <c r="P52"/>
      <c r="Q52"/>
      <c r="R52"/>
      <c r="S52"/>
      <c r="T52"/>
      <c r="U52"/>
      <c r="V52"/>
      <c r="W52"/>
      <c r="X52"/>
    </row>
    <row r="53" spans="1:24" ht="12.75" customHeight="1">
      <c r="A53" s="103" t="s">
        <v>41</v>
      </c>
      <c r="B53" s="104"/>
      <c r="C53" s="31"/>
      <c r="D53" s="247"/>
      <c r="E53" s="247"/>
      <c r="F53" s="243"/>
      <c r="G53" s="244"/>
      <c r="H53" s="246"/>
      <c r="I53" s="247"/>
      <c r="J53" s="246"/>
      <c r="K53" s="226"/>
      <c r="L53" s="237"/>
      <c r="M53"/>
      <c r="N53"/>
      <c r="O53"/>
      <c r="P53"/>
      <c r="Q53"/>
      <c r="R53"/>
      <c r="S53"/>
      <c r="T53"/>
      <c r="U53"/>
      <c r="V53"/>
      <c r="W53"/>
      <c r="X53"/>
    </row>
    <row r="54" spans="1:24">
      <c r="A54" s="103" t="s">
        <v>42</v>
      </c>
      <c r="B54" s="104"/>
      <c r="C54" s="31"/>
      <c r="D54" s="220">
        <f>'[1]Summary Page 1'!$C$34</f>
        <v>0</v>
      </c>
      <c r="E54" s="245">
        <f>[1]!F001P100F2100SBBudgFY</f>
        <v>3131827</v>
      </c>
      <c r="F54" s="241">
        <f>'[1]Summary Page 1'!$E$34</f>
        <v>0</v>
      </c>
      <c r="G54" s="242"/>
      <c r="H54" s="245">
        <f>[1]!F001P100F2100OthBudgFY</f>
        <v>35049</v>
      </c>
      <c r="I54" s="220">
        <f>D54+F54</f>
        <v>0</v>
      </c>
      <c r="J54" s="245">
        <f>E54+H54</f>
        <v>3166876</v>
      </c>
      <c r="K54" s="224" t="str">
        <f>IF(I54=J54,0,IF(I54&gt;0,(J54-I54)/I54,"--"))</f>
        <v>--</v>
      </c>
      <c r="L54" s="236"/>
      <c r="M54"/>
      <c r="N54"/>
      <c r="O54"/>
      <c r="P54"/>
      <c r="Q54"/>
      <c r="R54"/>
      <c r="S54"/>
      <c r="T54"/>
      <c r="U54"/>
      <c r="V54"/>
      <c r="W54"/>
      <c r="X54"/>
    </row>
    <row r="55" spans="1:24" ht="12.75" customHeight="1">
      <c r="A55" s="103" t="s">
        <v>43</v>
      </c>
      <c r="B55" s="104"/>
      <c r="C55" s="65"/>
      <c r="D55" s="247"/>
      <c r="E55" s="246"/>
      <c r="F55" s="243"/>
      <c r="G55" s="244"/>
      <c r="H55" s="246"/>
      <c r="I55" s="247"/>
      <c r="J55" s="246"/>
      <c r="K55" s="226"/>
      <c r="L55" s="237"/>
      <c r="M55"/>
      <c r="N55"/>
      <c r="O55"/>
      <c r="P55"/>
      <c r="Q55"/>
      <c r="R55"/>
      <c r="S55"/>
      <c r="T55"/>
      <c r="U55"/>
      <c r="V55"/>
      <c r="W55"/>
      <c r="X55"/>
    </row>
    <row r="56" spans="1:24">
      <c r="A56" s="105" t="s">
        <v>44</v>
      </c>
      <c r="B56" s="106"/>
      <c r="C56" s="31"/>
      <c r="D56" s="107">
        <f>'[1]Summary Page 1'!$C$36</f>
        <v>2618867</v>
      </c>
      <c r="E56" s="108">
        <f>[1]!F001P100F2200SBBudgFY</f>
        <v>2556367</v>
      </c>
      <c r="F56" s="208">
        <f>'[1]Summary Page 1'!$E$36</f>
        <v>337675</v>
      </c>
      <c r="G56" s="209"/>
      <c r="H56" s="108">
        <f>[1]!F001P100F2200OthBudgFY</f>
        <v>437675</v>
      </c>
      <c r="I56" s="107">
        <f t="shared" ref="I56:I63" si="0">D56+F56</f>
        <v>2956542</v>
      </c>
      <c r="J56" s="108">
        <f t="shared" ref="J56:J63" si="1">E56+H56</f>
        <v>2994042</v>
      </c>
      <c r="K56" s="200">
        <f t="shared" ref="K56:K65" si="2">IF(I56=J56,0,IF(I56&gt;0,(J56-I56)/I56,"--"))</f>
        <v>1.2683736608510889E-2</v>
      </c>
      <c r="L56" s="231"/>
      <c r="M56"/>
      <c r="N56"/>
      <c r="O56"/>
      <c r="P56"/>
      <c r="Q56"/>
      <c r="R56"/>
      <c r="S56"/>
      <c r="T56"/>
      <c r="U56"/>
      <c r="V56"/>
      <c r="W56"/>
      <c r="X56"/>
    </row>
    <row r="57" spans="1:24">
      <c r="A57" s="105" t="s">
        <v>45</v>
      </c>
      <c r="B57" s="106"/>
      <c r="C57" s="110"/>
      <c r="D57" s="107">
        <f>'[1]Summary Page 1'!$C$37</f>
        <v>7467537</v>
      </c>
      <c r="E57" s="108">
        <f>[1]!F001P100F230024002500SBBudgFY</f>
        <v>7561185</v>
      </c>
      <c r="F57" s="208">
        <f>'[1]Summary Page 1'!$E$37</f>
        <v>1077202</v>
      </c>
      <c r="G57" s="209"/>
      <c r="H57" s="108">
        <f>[1]!F001P100F230024002500OthBudgFY</f>
        <v>1127202</v>
      </c>
      <c r="I57" s="107">
        <f t="shared" si="0"/>
        <v>8544739</v>
      </c>
      <c r="J57" s="108">
        <f t="shared" si="1"/>
        <v>8688387</v>
      </c>
      <c r="K57" s="200">
        <f t="shared" si="2"/>
        <v>1.6811280016861836E-2</v>
      </c>
      <c r="L57" s="231"/>
      <c r="M57"/>
      <c r="N57"/>
      <c r="O57"/>
      <c r="P57"/>
      <c r="Q57"/>
      <c r="R57"/>
      <c r="S57"/>
      <c r="T57"/>
      <c r="U57"/>
      <c r="V57"/>
      <c r="W57"/>
      <c r="X57"/>
    </row>
    <row r="58" spans="1:24">
      <c r="A58" s="105" t="s">
        <v>46</v>
      </c>
      <c r="B58" s="106"/>
      <c r="C58" s="60"/>
      <c r="D58" s="107">
        <f>'[1]Summary Page 1'!$C$38</f>
        <v>3639424</v>
      </c>
      <c r="E58" s="108">
        <f>[1]!F001P100F2600SBBudgFY</f>
        <v>3738468</v>
      </c>
      <c r="F58" s="208">
        <f>'[1]Summary Page 1'!$E$38</f>
        <v>6816576</v>
      </c>
      <c r="G58" s="209"/>
      <c r="H58" s="107">
        <f>[1]!F001P100F2600OthBudgFY</f>
        <v>5820045</v>
      </c>
      <c r="I58" s="107">
        <f t="shared" si="0"/>
        <v>10456000</v>
      </c>
      <c r="J58" s="108">
        <f t="shared" si="1"/>
        <v>9558513</v>
      </c>
      <c r="K58" s="200">
        <f t="shared" si="2"/>
        <v>-8.5834640397857695E-2</v>
      </c>
      <c r="L58" s="231"/>
      <c r="M58"/>
      <c r="N58"/>
      <c r="O58"/>
      <c r="P58"/>
      <c r="Q58"/>
      <c r="R58"/>
      <c r="S58"/>
      <c r="T58"/>
      <c r="U58"/>
      <c r="V58"/>
      <c r="W58"/>
      <c r="X58"/>
    </row>
    <row r="59" spans="1:24">
      <c r="A59" s="103" t="s">
        <v>47</v>
      </c>
      <c r="B59" s="104"/>
      <c r="C59" s="31"/>
      <c r="D59" s="107">
        <f>'[1]Summary Page 1'!$C$39</f>
        <v>0</v>
      </c>
      <c r="E59" s="108">
        <f>[1]!F001P100F2900SBBudgFY</f>
        <v>0</v>
      </c>
      <c r="F59" s="208">
        <f>'[1]Summary Page 1'!$E$39</f>
        <v>0</v>
      </c>
      <c r="G59" s="209"/>
      <c r="H59" s="107">
        <f>[1]!F001P100F2900OthBudgFY</f>
        <v>0</v>
      </c>
      <c r="I59" s="107">
        <f t="shared" si="0"/>
        <v>0</v>
      </c>
      <c r="J59" s="108">
        <f t="shared" si="1"/>
        <v>0</v>
      </c>
      <c r="K59" s="200">
        <f t="shared" si="2"/>
        <v>0</v>
      </c>
      <c r="L59" s="231"/>
      <c r="M59"/>
      <c r="N59"/>
      <c r="O59"/>
      <c r="P59"/>
      <c r="Q59"/>
      <c r="R59"/>
      <c r="S59"/>
      <c r="T59"/>
      <c r="U59"/>
      <c r="V59"/>
      <c r="W59"/>
      <c r="X59"/>
    </row>
    <row r="60" spans="1:24">
      <c r="A60" s="103" t="s">
        <v>48</v>
      </c>
      <c r="B60" s="104"/>
      <c r="C60" s="31"/>
      <c r="D60" s="107">
        <f>'[1]Summary Page 1'!$C$40</f>
        <v>128496</v>
      </c>
      <c r="E60" s="108">
        <f>[1]!F001P100F3000SBBudgFY</f>
        <v>128496</v>
      </c>
      <c r="F60" s="208">
        <f>'[1]Summary Page 1'!$E$40</f>
        <v>17425</v>
      </c>
      <c r="G60" s="209"/>
      <c r="H60" s="107">
        <f>[1]!F001P100F3000OthBudgFY</f>
        <v>17425</v>
      </c>
      <c r="I60" s="107">
        <f t="shared" si="0"/>
        <v>145921</v>
      </c>
      <c r="J60" s="108">
        <f t="shared" si="1"/>
        <v>145921</v>
      </c>
      <c r="K60" s="200">
        <f t="shared" si="2"/>
        <v>0</v>
      </c>
      <c r="L60" s="231"/>
      <c r="M60"/>
      <c r="N60"/>
      <c r="O60"/>
      <c r="P60"/>
      <c r="Q60"/>
      <c r="R60"/>
      <c r="S60"/>
      <c r="T60"/>
      <c r="U60"/>
      <c r="V60"/>
      <c r="W60"/>
      <c r="X60"/>
    </row>
    <row r="61" spans="1:24">
      <c r="A61" s="88" t="s">
        <v>49</v>
      </c>
      <c r="B61" s="31"/>
      <c r="C61" s="31"/>
      <c r="D61" s="107">
        <f>'[1]Summary Page 1'!$C$41</f>
        <v>45892</v>
      </c>
      <c r="E61" s="108">
        <f>[1]!F001P610SBBudgFY</f>
        <v>45892</v>
      </c>
      <c r="F61" s="208">
        <f>'[1]Summary Page 1'!$E$41</f>
        <v>0</v>
      </c>
      <c r="G61" s="209"/>
      <c r="H61" s="107">
        <f>[1]!F001P610OthBudgFY</f>
        <v>0</v>
      </c>
      <c r="I61" s="107">
        <f t="shared" si="0"/>
        <v>45892</v>
      </c>
      <c r="J61" s="108">
        <f t="shared" si="1"/>
        <v>45892</v>
      </c>
      <c r="K61" s="200">
        <f t="shared" si="2"/>
        <v>0</v>
      </c>
      <c r="L61" s="201"/>
      <c r="M61"/>
      <c r="N61"/>
      <c r="O61"/>
      <c r="P61"/>
      <c r="Q61"/>
      <c r="R61"/>
      <c r="S61"/>
      <c r="T61"/>
      <c r="U61"/>
      <c r="V61"/>
      <c r="W61"/>
      <c r="X61"/>
    </row>
    <row r="62" spans="1:24">
      <c r="A62" s="88" t="s">
        <v>50</v>
      </c>
      <c r="B62" s="31"/>
      <c r="C62" s="31"/>
      <c r="D62" s="107">
        <f>'[1]Summary Page 1'!$C$42</f>
        <v>375386</v>
      </c>
      <c r="E62" s="108">
        <f>[1]!F001P620SBBudgFY</f>
        <v>379765</v>
      </c>
      <c r="F62" s="208">
        <f>'[1]Summary Page 1'!$E$42</f>
        <v>9005</v>
      </c>
      <c r="G62" s="209"/>
      <c r="H62" s="107">
        <f>[1]!F001P620OthBudgFY</f>
        <v>9005</v>
      </c>
      <c r="I62" s="107">
        <f t="shared" si="0"/>
        <v>384391</v>
      </c>
      <c r="J62" s="108">
        <f t="shared" si="1"/>
        <v>388770</v>
      </c>
      <c r="K62" s="200">
        <f t="shared" si="2"/>
        <v>1.1392046119706237E-2</v>
      </c>
      <c r="L62" s="201"/>
      <c r="M62"/>
      <c r="N62"/>
      <c r="O62"/>
      <c r="P62"/>
      <c r="Q62"/>
      <c r="R62"/>
      <c r="S62"/>
      <c r="T62"/>
      <c r="U62"/>
      <c r="V62"/>
      <c r="W62"/>
      <c r="X62"/>
    </row>
    <row r="63" spans="1:24">
      <c r="A63" s="88" t="s">
        <v>51</v>
      </c>
      <c r="B63" s="31"/>
      <c r="C63" s="31"/>
      <c r="D63" s="107">
        <f>'[1]Summary Page 1'!$C$43</f>
        <v>0</v>
      </c>
      <c r="E63" s="111">
        <f>[1]!F001P630700800900SBBudgFY</f>
        <v>0</v>
      </c>
      <c r="F63" s="218">
        <f>'[1]Summary Page 1'!$E$43</f>
        <v>0</v>
      </c>
      <c r="G63" s="219"/>
      <c r="H63" s="113">
        <f>[1]!F001P630700800900OthBudgFY</f>
        <v>0</v>
      </c>
      <c r="I63" s="113">
        <f t="shared" si="0"/>
        <v>0</v>
      </c>
      <c r="J63" s="111">
        <f t="shared" si="1"/>
        <v>0</v>
      </c>
      <c r="K63" s="200">
        <f t="shared" si="2"/>
        <v>0</v>
      </c>
      <c r="L63" s="201"/>
      <c r="M63"/>
      <c r="N63"/>
      <c r="O63"/>
      <c r="P63"/>
      <c r="Q63"/>
      <c r="R63"/>
      <c r="S63"/>
      <c r="T63"/>
      <c r="U63"/>
      <c r="V63"/>
      <c r="W63"/>
      <c r="X63"/>
    </row>
    <row r="64" spans="1:24">
      <c r="A64" s="114" t="s">
        <v>52</v>
      </c>
      <c r="B64" s="115"/>
      <c r="C64" s="89"/>
      <c r="D64" s="108">
        <f t="shared" ref="D64" si="3">SUM(D52:D63)</f>
        <v>14275602</v>
      </c>
      <c r="E64" s="108">
        <f t="shared" ref="E64:J64" si="4">SUM(E52:E63)</f>
        <v>48271579</v>
      </c>
      <c r="F64" s="208">
        <f t="shared" si="4"/>
        <v>8257883</v>
      </c>
      <c r="G64" s="209"/>
      <c r="H64" s="108">
        <f>SUM(H52:H63)</f>
        <v>8634401</v>
      </c>
      <c r="I64" s="108">
        <f t="shared" si="4"/>
        <v>22533485</v>
      </c>
      <c r="J64" s="108">
        <f t="shared" si="4"/>
        <v>56905980</v>
      </c>
      <c r="K64" s="200">
        <f t="shared" si="2"/>
        <v>1.52539631574965</v>
      </c>
      <c r="L64" s="201"/>
      <c r="M64"/>
      <c r="N64"/>
      <c r="O64"/>
      <c r="P64"/>
      <c r="Q64"/>
      <c r="R64"/>
      <c r="S64"/>
      <c r="T64"/>
      <c r="U64"/>
      <c r="V64"/>
      <c r="W64"/>
      <c r="X64"/>
    </row>
    <row r="65" spans="1:24">
      <c r="A65" s="103" t="s">
        <v>53</v>
      </c>
      <c r="B65" s="104"/>
      <c r="C65" s="31"/>
      <c r="D65" s="220">
        <f>'[1]Summary Page 1'!$C$45</f>
        <v>0</v>
      </c>
      <c r="E65" s="245">
        <f>[1]!F001P200F1000SBBudgFY</f>
        <v>6831716</v>
      </c>
      <c r="F65" s="241">
        <f>'[1]Summary Page 1'!$E$45</f>
        <v>0</v>
      </c>
      <c r="G65" s="242"/>
      <c r="H65" s="245">
        <f>[1]!F001P200F1000OthBudgFY</f>
        <v>193500</v>
      </c>
      <c r="I65" s="220">
        <f>D65+F65</f>
        <v>0</v>
      </c>
      <c r="J65" s="245">
        <f>E65+H65</f>
        <v>7025216</v>
      </c>
      <c r="K65" s="224" t="str">
        <f t="shared" si="2"/>
        <v>--</v>
      </c>
      <c r="L65" s="225"/>
      <c r="M65"/>
      <c r="N65"/>
      <c r="O65"/>
      <c r="P65"/>
      <c r="Q65"/>
      <c r="R65"/>
      <c r="S65"/>
      <c r="T65"/>
      <c r="U65"/>
      <c r="V65"/>
      <c r="W65"/>
      <c r="X65"/>
    </row>
    <row r="66" spans="1:24" ht="12.75" customHeight="1">
      <c r="A66" s="103" t="s">
        <v>41</v>
      </c>
      <c r="B66" s="104"/>
      <c r="C66" s="31"/>
      <c r="D66" s="247"/>
      <c r="E66" s="246"/>
      <c r="F66" s="243"/>
      <c r="G66" s="244"/>
      <c r="H66" s="246"/>
      <c r="I66" s="247"/>
      <c r="J66" s="246"/>
      <c r="K66" s="226"/>
      <c r="L66" s="227"/>
      <c r="M66"/>
      <c r="N66"/>
      <c r="O66"/>
      <c r="P66"/>
      <c r="Q66"/>
      <c r="R66"/>
      <c r="S66"/>
      <c r="T66"/>
      <c r="U66"/>
      <c r="V66"/>
      <c r="W66"/>
      <c r="X66"/>
    </row>
    <row r="67" spans="1:24">
      <c r="A67" s="103" t="s">
        <v>42</v>
      </c>
      <c r="B67" s="104"/>
      <c r="C67" s="31"/>
      <c r="D67" s="220">
        <f>'[1]Summary Page 1'!$C$47</f>
        <v>0</v>
      </c>
      <c r="E67" s="245">
        <f>[1]!F001P200F2100SBBudgFY</f>
        <v>3952650</v>
      </c>
      <c r="F67" s="241">
        <f>'[1]Summary Page 1'!$E$47</f>
        <v>0</v>
      </c>
      <c r="G67" s="242"/>
      <c r="H67" s="245">
        <f>[1]!F001P200F2100OthBudgFY</f>
        <v>22150</v>
      </c>
      <c r="I67" s="220">
        <f>D67+F67</f>
        <v>0</v>
      </c>
      <c r="J67" s="245">
        <f>E67+H67</f>
        <v>3974800</v>
      </c>
      <c r="K67" s="224" t="str">
        <f>IF(I67=J67,0,IF(I67&gt;0,(J67-I67)/I67,"--"))</f>
        <v>--</v>
      </c>
      <c r="L67" s="225"/>
      <c r="M67"/>
      <c r="N67"/>
      <c r="O67"/>
      <c r="P67"/>
      <c r="Q67"/>
      <c r="R67"/>
      <c r="S67"/>
      <c r="T67"/>
      <c r="U67"/>
      <c r="V67"/>
      <c r="W67"/>
      <c r="X67"/>
    </row>
    <row r="68" spans="1:24" ht="12.75" customHeight="1">
      <c r="A68" s="103" t="s">
        <v>43</v>
      </c>
      <c r="B68" s="104"/>
      <c r="C68" s="65"/>
      <c r="D68" s="247"/>
      <c r="E68" s="246"/>
      <c r="F68" s="243"/>
      <c r="G68" s="244"/>
      <c r="H68" s="246"/>
      <c r="I68" s="246"/>
      <c r="J68" s="246"/>
      <c r="K68" s="226"/>
      <c r="L68" s="227"/>
      <c r="M68"/>
      <c r="N68"/>
      <c r="O68"/>
      <c r="P68"/>
      <c r="Q68"/>
      <c r="R68"/>
      <c r="S68"/>
      <c r="T68"/>
      <c r="U68"/>
      <c r="V68"/>
      <c r="W68"/>
      <c r="X68"/>
    </row>
    <row r="69" spans="1:24">
      <c r="A69" s="105" t="s">
        <v>44</v>
      </c>
      <c r="B69" s="106"/>
      <c r="C69" s="31"/>
      <c r="D69" s="107">
        <f>'[1]Summary Page 1'!$C$49</f>
        <v>1358052</v>
      </c>
      <c r="E69" s="107">
        <f>[1]!F001P200F2200SBBudgFY</f>
        <v>1356564</v>
      </c>
      <c r="F69" s="208">
        <f>'[1]Summary Page 1'!$E$49</f>
        <v>325700</v>
      </c>
      <c r="G69" s="209"/>
      <c r="H69" s="108">
        <f>[1]!F001P200F2200OthBudgFY</f>
        <v>361285</v>
      </c>
      <c r="I69" s="107">
        <f>D69+F69</f>
        <v>1683752</v>
      </c>
      <c r="J69" s="108">
        <f>E69+H69</f>
        <v>1717849</v>
      </c>
      <c r="K69" s="200">
        <f t="shared" ref="K69:K78" si="5">IF(I69=J69,0,IF(I69&gt;0,(J69-I69)/I69,"--"))</f>
        <v>2.0250606977749691E-2</v>
      </c>
      <c r="L69" s="201"/>
      <c r="M69"/>
      <c r="N69"/>
      <c r="O69"/>
      <c r="P69"/>
      <c r="Q69"/>
      <c r="R69"/>
      <c r="S69"/>
      <c r="T69"/>
      <c r="U69"/>
      <c r="V69"/>
      <c r="W69"/>
      <c r="X69"/>
    </row>
    <row r="70" spans="1:24">
      <c r="A70" s="105" t="s">
        <v>45</v>
      </c>
      <c r="B70" s="106"/>
      <c r="C70" s="110"/>
      <c r="D70" s="107">
        <f>'[1]Summary Page 1'!$C$50</f>
        <v>0</v>
      </c>
      <c r="E70" s="107">
        <f>[1]!F001P200F230024002500SBBudgFY</f>
        <v>0</v>
      </c>
      <c r="F70" s="208">
        <f>'[1]Summary Page 1'!$E$50</f>
        <v>500</v>
      </c>
      <c r="G70" s="209"/>
      <c r="H70" s="107">
        <f>[1]!F001P200F230024002500OthBudgFY</f>
        <v>0</v>
      </c>
      <c r="I70" s="107">
        <f>D70+F70</f>
        <v>500</v>
      </c>
      <c r="J70" s="108">
        <f>E70+H70</f>
        <v>0</v>
      </c>
      <c r="K70" s="200">
        <f t="shared" si="5"/>
        <v>-1</v>
      </c>
      <c r="L70" s="201"/>
      <c r="M70"/>
      <c r="N70"/>
      <c r="O70"/>
      <c r="P70"/>
      <c r="Q70"/>
      <c r="R70"/>
      <c r="S70"/>
      <c r="T70"/>
      <c r="U70"/>
      <c r="V70"/>
      <c r="W70"/>
      <c r="X70"/>
    </row>
    <row r="71" spans="1:24">
      <c r="A71" s="105" t="s">
        <v>46</v>
      </c>
      <c r="B71" s="106"/>
      <c r="C71" s="60"/>
      <c r="D71" s="107">
        <f>'[1]Summary Page 1'!$C$51</f>
        <v>0</v>
      </c>
      <c r="E71" s="107">
        <f>[1]!F001P200F2600SBBudgFY</f>
        <v>0</v>
      </c>
      <c r="F71" s="208">
        <f>'[1]Summary Page 1'!$E$51</f>
        <v>0</v>
      </c>
      <c r="G71" s="209"/>
      <c r="H71" s="107">
        <f>[1]!F001P200F2600OthBudgFY</f>
        <v>0</v>
      </c>
      <c r="I71" s="107">
        <f>D71+F71</f>
        <v>0</v>
      </c>
      <c r="J71" s="108">
        <f>E71+H71</f>
        <v>0</v>
      </c>
      <c r="K71" s="200">
        <f t="shared" si="5"/>
        <v>0</v>
      </c>
      <c r="L71" s="201"/>
      <c r="M71"/>
      <c r="N71"/>
      <c r="O71"/>
      <c r="P71"/>
      <c r="Q71"/>
      <c r="R71"/>
      <c r="S71"/>
      <c r="T71"/>
      <c r="U71"/>
      <c r="V71"/>
      <c r="W71"/>
      <c r="X71"/>
    </row>
    <row r="72" spans="1:24">
      <c r="A72" s="103" t="s">
        <v>47</v>
      </c>
      <c r="B72" s="104"/>
      <c r="C72" s="31"/>
      <c r="D72" s="107">
        <f>'[1]Summary Page 1'!$C$52</f>
        <v>0</v>
      </c>
      <c r="E72" s="107">
        <f>[1]!F001P200F2900SBBudgFY</f>
        <v>0</v>
      </c>
      <c r="F72" s="208">
        <f>'[1]Summary Page 1'!$E$52</f>
        <v>0</v>
      </c>
      <c r="G72" s="209"/>
      <c r="H72" s="107">
        <f>[1]!F001P200F2900OthBudgFY</f>
        <v>0</v>
      </c>
      <c r="I72" s="107">
        <f>D72+F72</f>
        <v>0</v>
      </c>
      <c r="J72" s="108">
        <f>E72+H72</f>
        <v>0</v>
      </c>
      <c r="K72" s="200">
        <f t="shared" si="5"/>
        <v>0</v>
      </c>
      <c r="L72" s="201"/>
      <c r="M72"/>
      <c r="N72"/>
      <c r="O72"/>
      <c r="P72"/>
      <c r="Q72"/>
      <c r="R72"/>
      <c r="S72"/>
      <c r="T72"/>
      <c r="U72"/>
      <c r="V72"/>
      <c r="W72"/>
      <c r="X72"/>
    </row>
    <row r="73" spans="1:24">
      <c r="A73" s="103" t="s">
        <v>48</v>
      </c>
      <c r="B73" s="104"/>
      <c r="C73" s="31"/>
      <c r="D73" s="107">
        <f>'[1]Summary Page 1'!$C$53</f>
        <v>0</v>
      </c>
      <c r="E73" s="107">
        <f>[1]!F001P200F3000SBBudgFY</f>
        <v>0</v>
      </c>
      <c r="F73" s="208">
        <f>'[1]Summary Page 1'!$E$53</f>
        <v>0</v>
      </c>
      <c r="G73" s="209"/>
      <c r="H73" s="107">
        <f>[1]!F001P200F3000OthBudgFY</f>
        <v>0</v>
      </c>
      <c r="I73" s="107">
        <f>D73+F73</f>
        <v>0</v>
      </c>
      <c r="J73" s="108">
        <f>E73+H73</f>
        <v>0</v>
      </c>
      <c r="K73" s="200">
        <f t="shared" si="5"/>
        <v>0</v>
      </c>
      <c r="L73" s="201"/>
      <c r="M73"/>
      <c r="N73"/>
      <c r="O73"/>
      <c r="P73"/>
      <c r="Q73"/>
      <c r="R73"/>
      <c r="S73"/>
      <c r="T73"/>
      <c r="U73"/>
      <c r="V73"/>
      <c r="W73"/>
      <c r="X73"/>
    </row>
    <row r="74" spans="1:24">
      <c r="A74" s="114" t="s">
        <v>54</v>
      </c>
      <c r="B74" s="115"/>
      <c r="C74" s="31"/>
      <c r="D74" s="116">
        <f t="shared" ref="D74" si="6">SUM(D65:D73)</f>
        <v>1358052</v>
      </c>
      <c r="E74" s="116">
        <f t="shared" ref="E74:J74" si="7">SUM(E65:E73)</f>
        <v>12140930</v>
      </c>
      <c r="F74" s="212">
        <f t="shared" si="7"/>
        <v>326200</v>
      </c>
      <c r="G74" s="213"/>
      <c r="H74" s="116">
        <f t="shared" si="7"/>
        <v>576935</v>
      </c>
      <c r="I74" s="107">
        <f t="shared" si="7"/>
        <v>1684252</v>
      </c>
      <c r="J74" s="107">
        <f t="shared" si="7"/>
        <v>12717865</v>
      </c>
      <c r="K74" s="200">
        <f t="shared" si="5"/>
        <v>6.551046399232419</v>
      </c>
      <c r="L74" s="201"/>
      <c r="M74"/>
      <c r="N74"/>
      <c r="O74"/>
      <c r="P74"/>
      <c r="Q74"/>
      <c r="R74"/>
      <c r="S74"/>
      <c r="T74"/>
      <c r="U74"/>
      <c r="V74"/>
      <c r="W74"/>
      <c r="X74"/>
    </row>
    <row r="75" spans="1:24">
      <c r="A75" s="117" t="s">
        <v>55</v>
      </c>
      <c r="B75" s="118"/>
      <c r="C75" s="118"/>
      <c r="D75" s="107">
        <f>'[1]Summary Page 1'!$C$55</f>
        <v>4154408</v>
      </c>
      <c r="E75" s="116">
        <f>[1]!F001P400SBBudgFY</f>
        <v>4154408</v>
      </c>
      <c r="F75" s="208">
        <f>'[1]Summary Page 1'!$E$55</f>
        <v>1665443</v>
      </c>
      <c r="G75" s="209"/>
      <c r="H75" s="116">
        <f>[1]!F001P400OthBudgFy</f>
        <v>1665443</v>
      </c>
      <c r="I75" s="107">
        <f>D75+F75</f>
        <v>5819851</v>
      </c>
      <c r="J75" s="108">
        <f>E75+H75</f>
        <v>5819851</v>
      </c>
      <c r="K75" s="200">
        <f t="shared" si="5"/>
        <v>0</v>
      </c>
      <c r="L75" s="201"/>
      <c r="M75"/>
      <c r="N75"/>
      <c r="O75"/>
      <c r="P75"/>
      <c r="Q75"/>
      <c r="R75"/>
      <c r="S75"/>
      <c r="T75"/>
      <c r="U75"/>
      <c r="V75"/>
      <c r="W75"/>
      <c r="X75"/>
    </row>
    <row r="76" spans="1:24">
      <c r="A76" s="119" t="s">
        <v>56</v>
      </c>
      <c r="B76" s="26"/>
      <c r="C76" s="26"/>
      <c r="D76" s="113">
        <f>'[1]Summary Page 1'!$C$56</f>
        <v>2205416</v>
      </c>
      <c r="E76" s="120">
        <f>[1]!F001P510SBBudgFY</f>
        <v>2205416</v>
      </c>
      <c r="F76" s="218">
        <f>'[1]Summary Page 1'!$E$56</f>
        <v>35906</v>
      </c>
      <c r="G76" s="219"/>
      <c r="H76" s="120">
        <f>[1]!F001P510OthBudgFY</f>
        <v>35906</v>
      </c>
      <c r="I76" s="113">
        <f>D76+F76</f>
        <v>2241322</v>
      </c>
      <c r="J76" s="111">
        <f>E76+H76</f>
        <v>2241322</v>
      </c>
      <c r="K76" s="214">
        <f t="shared" si="5"/>
        <v>0</v>
      </c>
      <c r="L76" s="215"/>
      <c r="M76"/>
      <c r="N76"/>
      <c r="O76"/>
      <c r="P76"/>
      <c r="Q76"/>
      <c r="R76"/>
      <c r="S76"/>
      <c r="T76"/>
      <c r="U76"/>
      <c r="V76"/>
      <c r="W76"/>
      <c r="X76"/>
    </row>
    <row r="77" spans="1:24">
      <c r="A77" s="117" t="s">
        <v>57</v>
      </c>
      <c r="B77" s="118"/>
      <c r="C77" s="118"/>
      <c r="D77" s="107">
        <f>'[1]Summary Page 1'!$C$57</f>
        <v>115870</v>
      </c>
      <c r="E77" s="116">
        <f>[1]!F001P530SBBudgFY</f>
        <v>115870</v>
      </c>
      <c r="F77" s="208">
        <f>'[1]Summary Page 1'!$E$57</f>
        <v>0</v>
      </c>
      <c r="G77" s="209"/>
      <c r="H77" s="116">
        <f>[1]!F001P530OthBudgFY</f>
        <v>0</v>
      </c>
      <c r="I77" s="107">
        <f>D77+F77</f>
        <v>115870</v>
      </c>
      <c r="J77" s="108">
        <f>E77+H77</f>
        <v>115870</v>
      </c>
      <c r="K77" s="200">
        <f t="shared" si="5"/>
        <v>0</v>
      </c>
      <c r="L77" s="201"/>
      <c r="M77"/>
      <c r="N77"/>
      <c r="O77"/>
      <c r="P77"/>
      <c r="Q77"/>
      <c r="R77"/>
      <c r="S77"/>
      <c r="T77"/>
      <c r="U77"/>
      <c r="V77"/>
      <c r="W77"/>
      <c r="X77"/>
    </row>
    <row r="78" spans="1:24">
      <c r="A78" s="117" t="s">
        <v>58</v>
      </c>
      <c r="B78" s="118"/>
      <c r="C78" s="121"/>
      <c r="D78" s="220">
        <f>'[1]Summary Page 1'!$C$58</f>
        <v>0</v>
      </c>
      <c r="E78" s="222">
        <f>[1]!F001P540SBBudgFY</f>
        <v>0</v>
      </c>
      <c r="F78" s="241">
        <f>'[1]Summary Page 1'!$E$58</f>
        <v>0</v>
      </c>
      <c r="G78" s="242"/>
      <c r="H78" s="222">
        <f>[1]!F001P540OthBudgFY</f>
        <v>0</v>
      </c>
      <c r="I78" s="220">
        <f>D78+F78</f>
        <v>0</v>
      </c>
      <c r="J78" s="220">
        <f>E78+H78</f>
        <v>0</v>
      </c>
      <c r="K78" s="224">
        <f t="shared" si="5"/>
        <v>0</v>
      </c>
      <c r="L78" s="225"/>
      <c r="M78"/>
      <c r="N78"/>
      <c r="O78"/>
      <c r="P78"/>
      <c r="Q78"/>
      <c r="R78"/>
      <c r="S78"/>
      <c r="T78"/>
      <c r="U78"/>
      <c r="V78"/>
      <c r="W78"/>
      <c r="X78"/>
    </row>
    <row r="79" spans="1:24">
      <c r="A79" s="117" t="s">
        <v>59</v>
      </c>
      <c r="B79" s="118"/>
      <c r="C79" s="121"/>
      <c r="D79" s="221"/>
      <c r="E79" s="223"/>
      <c r="F79" s="243"/>
      <c r="G79" s="244"/>
      <c r="H79" s="223"/>
      <c r="I79" s="221"/>
      <c r="J79" s="221"/>
      <c r="K79" s="226"/>
      <c r="L79" s="227"/>
      <c r="M79"/>
      <c r="N79"/>
      <c r="O79"/>
      <c r="P79"/>
      <c r="Q79"/>
      <c r="R79"/>
      <c r="S79"/>
      <c r="T79"/>
      <c r="U79"/>
      <c r="V79"/>
      <c r="W79"/>
      <c r="X79"/>
    </row>
    <row r="80" spans="1:24">
      <c r="A80" s="119" t="s">
        <v>60</v>
      </c>
      <c r="B80" s="26"/>
      <c r="C80" s="121"/>
      <c r="D80" s="107">
        <f>'[1]Summary Page 1'!$C$60</f>
        <v>433906</v>
      </c>
      <c r="E80" s="122">
        <f>[1]!F001P550SBBudgFY</f>
        <v>433906</v>
      </c>
      <c r="F80" s="208">
        <f>'[1]Summary Page 1'!$E$60</f>
        <v>0</v>
      </c>
      <c r="G80" s="209"/>
      <c r="H80" s="122">
        <f>[1]!F001P550OthBudgFY</f>
        <v>0</v>
      </c>
      <c r="I80" s="107">
        <f>D80+F80</f>
        <v>433906</v>
      </c>
      <c r="J80" s="111">
        <f>E80+H80</f>
        <v>433906</v>
      </c>
      <c r="K80" s="214">
        <f>IF(I80=J80,0,IF(I80&gt;0,(J80-I80)/I80,"--"))</f>
        <v>0</v>
      </c>
      <c r="L80" s="215"/>
      <c r="M80"/>
      <c r="N80"/>
      <c r="O80"/>
      <c r="P80"/>
      <c r="Q80"/>
      <c r="R80"/>
      <c r="S80"/>
      <c r="T80"/>
      <c r="U80"/>
      <c r="V80"/>
      <c r="W80"/>
      <c r="X80"/>
    </row>
    <row r="81" spans="1:24">
      <c r="A81" s="123" t="s">
        <v>61</v>
      </c>
      <c r="B81" s="77"/>
      <c r="C81" s="124"/>
      <c r="D81" s="125">
        <f t="shared" ref="D81" si="8">SUM(D74:D80)+D64</f>
        <v>22543254</v>
      </c>
      <c r="E81" s="125">
        <f t="shared" ref="E81:J81" si="9">SUM(E74:E80)+E64</f>
        <v>67322109</v>
      </c>
      <c r="F81" s="210">
        <f t="shared" si="9"/>
        <v>10285432</v>
      </c>
      <c r="G81" s="211"/>
      <c r="H81" s="125">
        <f t="shared" si="9"/>
        <v>10912685</v>
      </c>
      <c r="I81" s="125">
        <f t="shared" si="9"/>
        <v>32828686</v>
      </c>
      <c r="J81" s="125">
        <f t="shared" si="9"/>
        <v>78234794</v>
      </c>
      <c r="K81" s="216">
        <f>IF(I81=J81,0,IF(I81&gt;0,(J81-I81)/I81,"--"))</f>
        <v>1.3831229187790215</v>
      </c>
      <c r="L81" s="217"/>
      <c r="M81"/>
      <c r="N81"/>
      <c r="O81"/>
      <c r="P81"/>
      <c r="Q81"/>
      <c r="R81"/>
      <c r="S81"/>
      <c r="T81"/>
      <c r="U81"/>
      <c r="V81"/>
      <c r="W81"/>
      <c r="X81"/>
    </row>
    <row r="82" spans="1:24">
      <c r="A82" s="65"/>
      <c r="B82" s="65"/>
      <c r="C82" s="28"/>
      <c r="D82" s="126"/>
      <c r="E82" s="126"/>
      <c r="F82" s="126"/>
      <c r="G82" s="126"/>
      <c r="H82" s="126"/>
      <c r="I82" s="126"/>
      <c r="J82" s="126"/>
      <c r="K82" s="126"/>
      <c r="L82" s="127"/>
      <c r="M82"/>
      <c r="N82"/>
      <c r="O82"/>
      <c r="P82"/>
      <c r="Q82"/>
      <c r="R82"/>
      <c r="S82"/>
      <c r="T82"/>
      <c r="U82"/>
      <c r="V82"/>
      <c r="W82"/>
      <c r="X82"/>
    </row>
    <row r="83" spans="1:24" ht="12.75" customHeight="1">
      <c r="A83"/>
      <c r="B83"/>
      <c r="C83"/>
      <c r="D83"/>
      <c r="E83"/>
      <c r="F83"/>
      <c r="G83"/>
      <c r="H83"/>
      <c r="I83"/>
      <c r="J83"/>
      <c r="K83"/>
      <c r="L83"/>
      <c r="M83"/>
      <c r="N83"/>
      <c r="O83"/>
      <c r="P83"/>
      <c r="Q83"/>
      <c r="R83"/>
      <c r="S83"/>
      <c r="T83"/>
      <c r="U83"/>
      <c r="V83"/>
      <c r="W83"/>
      <c r="X83"/>
    </row>
    <row r="84" spans="1:24" ht="12.75" customHeight="1">
      <c r="A84" s="251" t="s">
        <v>62</v>
      </c>
      <c r="B84" s="252"/>
      <c r="C84" s="252"/>
      <c r="D84" s="252"/>
      <c r="E84" s="252"/>
      <c r="F84" s="252"/>
      <c r="G84" s="253"/>
      <c r="H84" s="128"/>
      <c r="I84" s="128"/>
      <c r="J84" s="29"/>
      <c r="K84" s="29"/>
      <c r="L84"/>
      <c r="M84"/>
      <c r="N84"/>
      <c r="O84"/>
      <c r="P84"/>
      <c r="Q84"/>
      <c r="R84"/>
      <c r="S84"/>
      <c r="T84"/>
      <c r="U84"/>
      <c r="V84"/>
      <c r="W84"/>
      <c r="X84"/>
    </row>
    <row r="85" spans="1:24" ht="12.75" customHeight="1">
      <c r="A85" s="41"/>
      <c r="B85" s="31"/>
      <c r="C85" s="98"/>
      <c r="D85" s="129"/>
      <c r="E85" s="98" t="s">
        <v>63</v>
      </c>
      <c r="F85" s="232" t="s">
        <v>64</v>
      </c>
      <c r="G85" s="238"/>
      <c r="H85" s="130"/>
      <c r="I85" s="130"/>
      <c r="J85" s="130"/>
      <c r="K85" s="130"/>
      <c r="L85"/>
      <c r="M85"/>
      <c r="N85"/>
      <c r="O85"/>
      <c r="P85"/>
      <c r="Q85"/>
      <c r="R85"/>
      <c r="S85"/>
      <c r="T85"/>
      <c r="U85"/>
      <c r="V85"/>
      <c r="W85"/>
      <c r="X85"/>
    </row>
    <row r="86" spans="1:24" ht="12.75" customHeight="1">
      <c r="A86" s="41"/>
      <c r="B86" s="31"/>
      <c r="C86" s="94" t="s">
        <v>65</v>
      </c>
      <c r="D86" s="95"/>
      <c r="E86" s="98" t="s">
        <v>66</v>
      </c>
      <c r="F86" s="202" t="s">
        <v>66</v>
      </c>
      <c r="G86" s="203"/>
      <c r="H86" s="130"/>
      <c r="I86" s="130"/>
      <c r="J86" s="130"/>
      <c r="K86" s="130"/>
      <c r="L86"/>
      <c r="M86"/>
      <c r="N86"/>
      <c r="O86"/>
      <c r="P86"/>
      <c r="Q86"/>
      <c r="R86"/>
      <c r="S86"/>
      <c r="T86"/>
      <c r="U86"/>
      <c r="V86"/>
      <c r="W86"/>
      <c r="X86"/>
    </row>
    <row r="87" spans="1:24" ht="12.75" customHeight="1">
      <c r="A87" s="131" t="s">
        <v>67</v>
      </c>
      <c r="B87" s="31"/>
      <c r="C87" s="93"/>
      <c r="D87" s="99"/>
      <c r="E87" s="98" t="s">
        <v>38</v>
      </c>
      <c r="F87" s="202" t="s">
        <v>38</v>
      </c>
      <c r="G87" s="203"/>
      <c r="H87" s="130"/>
      <c r="I87" s="130"/>
      <c r="J87" s="130"/>
      <c r="K87" s="130"/>
      <c r="L87"/>
      <c r="M87"/>
      <c r="N87"/>
      <c r="O87"/>
      <c r="P87"/>
      <c r="Q87"/>
      <c r="R87"/>
      <c r="S87"/>
      <c r="T87"/>
      <c r="U87"/>
      <c r="V87"/>
      <c r="W87"/>
      <c r="X87"/>
    </row>
    <row r="88" spans="1:24" ht="12.75" customHeight="1">
      <c r="A88" s="101"/>
      <c r="B88" s="132"/>
      <c r="C88" s="102" t="s">
        <v>39</v>
      </c>
      <c r="D88" s="133" t="s">
        <v>31</v>
      </c>
      <c r="E88" s="102" t="s">
        <v>68</v>
      </c>
      <c r="F88" s="204" t="s">
        <v>39</v>
      </c>
      <c r="G88" s="205"/>
      <c r="H88" s="130"/>
      <c r="I88" s="130"/>
      <c r="J88" s="130"/>
      <c r="K88" s="130"/>
      <c r="L88"/>
      <c r="M88"/>
      <c r="N88"/>
      <c r="O88"/>
      <c r="P88"/>
      <c r="Q88"/>
      <c r="R88"/>
      <c r="S88"/>
      <c r="T88"/>
      <c r="U88"/>
      <c r="V88"/>
      <c r="W88"/>
      <c r="X88"/>
    </row>
    <row r="89" spans="1:24" ht="12.75" customHeight="1">
      <c r="A89" s="134" t="s">
        <v>69</v>
      </c>
      <c r="B89" s="135"/>
      <c r="C89" s="136">
        <f>[1]!SummMOPY</f>
        <v>78358012</v>
      </c>
      <c r="D89" s="136">
        <f>[1]!SummMOBY</f>
        <v>78234794</v>
      </c>
      <c r="E89" s="134">
        <f t="shared" ref="E89:E104" si="10">D89-C89</f>
        <v>-123218</v>
      </c>
      <c r="F89" s="206">
        <f t="shared" ref="F89:F104" si="11">IF(C89=D89,0,IF(C89&gt;0,E89/C89,"--"))</f>
        <v>-1.5725003334694095E-3</v>
      </c>
      <c r="G89" s="207"/>
      <c r="H89" s="130"/>
      <c r="I89" s="130"/>
      <c r="J89" s="130"/>
      <c r="K89" s="130"/>
      <c r="L89"/>
      <c r="M89"/>
      <c r="N89"/>
      <c r="O89"/>
      <c r="P89"/>
      <c r="Q89"/>
      <c r="R89"/>
      <c r="S89"/>
      <c r="T89"/>
      <c r="U89"/>
      <c r="V89"/>
      <c r="W89"/>
      <c r="X89"/>
    </row>
    <row r="90" spans="1:24" ht="12.75" customHeight="1">
      <c r="A90" s="137" t="s">
        <v>70</v>
      </c>
      <c r="B90" s="138"/>
      <c r="C90" s="139">
        <f>[1]!SummInstImprovPY</f>
        <v>0</v>
      </c>
      <c r="D90" s="139">
        <f>[1]!SummInstImprovBY</f>
        <v>0</v>
      </c>
      <c r="E90" s="134">
        <f t="shared" si="10"/>
        <v>0</v>
      </c>
      <c r="F90" s="206">
        <f t="shared" si="11"/>
        <v>0</v>
      </c>
      <c r="G90" s="207"/>
      <c r="H90" s="130"/>
      <c r="I90" s="130"/>
      <c r="J90" s="130"/>
      <c r="K90" s="130"/>
      <c r="L90"/>
      <c r="M90"/>
      <c r="N90"/>
      <c r="O90"/>
      <c r="P90"/>
      <c r="Q90"/>
      <c r="R90"/>
      <c r="S90"/>
      <c r="T90"/>
      <c r="U90"/>
      <c r="V90"/>
      <c r="W90"/>
      <c r="X90"/>
    </row>
    <row r="91" spans="1:24" ht="12.75" customHeight="1">
      <c r="A91" s="137" t="s">
        <v>126</v>
      </c>
      <c r="B91" s="138"/>
      <c r="C91" s="139">
        <f>[1]!SummELLPY</f>
        <v>0</v>
      </c>
      <c r="D91" s="113">
        <f>[1]!SummELLBY</f>
        <v>0</v>
      </c>
      <c r="E91" s="134">
        <f t="shared" si="10"/>
        <v>0</v>
      </c>
      <c r="F91" s="206">
        <f t="shared" si="11"/>
        <v>0</v>
      </c>
      <c r="G91" s="207"/>
      <c r="H91" s="130"/>
      <c r="I91" s="130"/>
      <c r="J91" s="130"/>
      <c r="K91" s="130"/>
      <c r="L91"/>
      <c r="M91"/>
      <c r="N91"/>
      <c r="O91"/>
      <c r="P91"/>
      <c r="Q91"/>
      <c r="R91"/>
      <c r="S91"/>
      <c r="T91"/>
      <c r="U91"/>
      <c r="V91"/>
      <c r="W91"/>
      <c r="X91"/>
    </row>
    <row r="92" spans="1:24" ht="12.75" customHeight="1">
      <c r="A92" s="137" t="s">
        <v>71</v>
      </c>
      <c r="B92" s="138"/>
      <c r="C92" s="139">
        <f>[1]!SummCompInstrPY</f>
        <v>0</v>
      </c>
      <c r="D92" s="113">
        <f>[1]!SummCompInstrBY</f>
        <v>0</v>
      </c>
      <c r="E92" s="140">
        <f t="shared" si="10"/>
        <v>0</v>
      </c>
      <c r="F92" s="187">
        <f t="shared" si="11"/>
        <v>0</v>
      </c>
      <c r="G92" s="188"/>
      <c r="H92" s="130"/>
      <c r="I92" s="130"/>
      <c r="J92" s="130"/>
      <c r="K92" s="130"/>
      <c r="L92"/>
      <c r="M92"/>
      <c r="N92"/>
      <c r="O92"/>
      <c r="P92"/>
      <c r="Q92"/>
      <c r="R92"/>
      <c r="S92"/>
      <c r="T92"/>
      <c r="U92"/>
      <c r="V92"/>
      <c r="W92"/>
      <c r="X92"/>
    </row>
    <row r="93" spans="1:24" ht="12.75" customHeight="1">
      <c r="A93" s="141" t="s">
        <v>72</v>
      </c>
      <c r="B93" s="142"/>
      <c r="C93" s="143">
        <f>[1]!SummCSFPY</f>
        <v>12402430</v>
      </c>
      <c r="D93" s="143">
        <f>[1]!SummCSFBY</f>
        <v>12904925</v>
      </c>
      <c r="E93" s="140">
        <f t="shared" si="10"/>
        <v>502495</v>
      </c>
      <c r="F93" s="187">
        <f t="shared" si="11"/>
        <v>4.0515850522841089E-2</v>
      </c>
      <c r="G93" s="188"/>
      <c r="H93" s="130"/>
      <c r="I93" s="130"/>
      <c r="J93" s="130"/>
      <c r="K93" s="130"/>
      <c r="L93"/>
      <c r="M93"/>
      <c r="N93"/>
      <c r="O93"/>
      <c r="P93"/>
      <c r="Q93"/>
      <c r="R93"/>
      <c r="S93"/>
      <c r="T93"/>
      <c r="U93"/>
      <c r="V93"/>
      <c r="W93"/>
      <c r="X93"/>
    </row>
    <row r="94" spans="1:24" ht="12.75" customHeight="1">
      <c r="A94" s="144" t="s">
        <v>73</v>
      </c>
      <c r="B94" s="145"/>
      <c r="C94" s="108">
        <f>[1]!SummFedProjectsPY</f>
        <v>14511174</v>
      </c>
      <c r="D94" s="108">
        <f>[1]!SummFedProjectsBY</f>
        <v>11260982</v>
      </c>
      <c r="E94" s="146">
        <f t="shared" si="10"/>
        <v>-3250192</v>
      </c>
      <c r="F94" s="187">
        <f t="shared" si="11"/>
        <v>-0.22397856989379356</v>
      </c>
      <c r="G94" s="188"/>
      <c r="H94" s="130"/>
      <c r="I94" s="130"/>
      <c r="J94" s="130"/>
      <c r="K94" s="130"/>
      <c r="L94"/>
      <c r="M94"/>
      <c r="N94"/>
      <c r="O94"/>
      <c r="P94"/>
      <c r="Q94"/>
      <c r="R94"/>
      <c r="S94"/>
      <c r="T94"/>
      <c r="U94"/>
      <c r="V94"/>
      <c r="W94"/>
      <c r="X94"/>
    </row>
    <row r="95" spans="1:24" ht="12.75" customHeight="1">
      <c r="A95" s="147" t="s">
        <v>74</v>
      </c>
      <c r="B95" s="148"/>
      <c r="C95" s="107">
        <f>[1]!SummStateProjectsPY</f>
        <v>1595341</v>
      </c>
      <c r="D95" s="107">
        <f>[1]!SummStateProjectsBY</f>
        <v>1309832</v>
      </c>
      <c r="E95" s="109">
        <f t="shared" si="10"/>
        <v>-285509</v>
      </c>
      <c r="F95" s="187">
        <f t="shared" si="11"/>
        <v>-0.17896424651532181</v>
      </c>
      <c r="G95" s="188"/>
      <c r="H95" s="130"/>
      <c r="I95" s="130"/>
      <c r="J95" s="130"/>
      <c r="K95" s="130"/>
      <c r="L95"/>
      <c r="M95"/>
      <c r="N95"/>
      <c r="O95"/>
      <c r="P95"/>
      <c r="Q95"/>
      <c r="R95"/>
      <c r="S95"/>
      <c r="T95"/>
      <c r="U95"/>
      <c r="V95"/>
      <c r="W95"/>
      <c r="X95"/>
    </row>
    <row r="96" spans="1:24" ht="12.75" customHeight="1">
      <c r="A96" s="144" t="s">
        <v>75</v>
      </c>
      <c r="B96" s="145"/>
      <c r="C96" s="107">
        <f>[1]!SummUCOPY</f>
        <v>5991848</v>
      </c>
      <c r="D96" s="107">
        <f>[1]!SummUCOBY</f>
        <v>6390999</v>
      </c>
      <c r="E96" s="109">
        <f t="shared" si="10"/>
        <v>399151</v>
      </c>
      <c r="F96" s="187">
        <f t="shared" si="11"/>
        <v>6.6615675163989474E-2</v>
      </c>
      <c r="G96" s="188"/>
      <c r="H96" s="28"/>
      <c r="I96" s="28"/>
      <c r="J96" s="28"/>
      <c r="K96" s="28"/>
      <c r="L96"/>
      <c r="M96"/>
      <c r="N96"/>
      <c r="O96"/>
      <c r="P96"/>
      <c r="Q96"/>
      <c r="R96"/>
      <c r="S96"/>
      <c r="T96"/>
      <c r="U96"/>
      <c r="V96"/>
      <c r="W96"/>
      <c r="X96"/>
    </row>
    <row r="97" spans="1:24" ht="12.75" customHeight="1">
      <c r="A97" s="144" t="s">
        <v>76</v>
      </c>
      <c r="B97" s="145"/>
      <c r="C97" s="107">
        <f>[1]!SummNSFPY</f>
        <v>0</v>
      </c>
      <c r="D97" s="107">
        <f>[1]!SummNSFBY</f>
        <v>0</v>
      </c>
      <c r="E97" s="109">
        <f t="shared" si="10"/>
        <v>0</v>
      </c>
      <c r="F97" s="187">
        <f t="shared" si="11"/>
        <v>0</v>
      </c>
      <c r="G97" s="188"/>
      <c r="H97" s="130"/>
      <c r="I97" s="130"/>
      <c r="J97" s="130"/>
      <c r="K97" s="130"/>
      <c r="L97"/>
      <c r="M97"/>
      <c r="N97"/>
      <c r="O97"/>
      <c r="P97"/>
      <c r="Q97"/>
      <c r="R97"/>
      <c r="S97"/>
      <c r="T97"/>
      <c r="U97"/>
      <c r="V97"/>
      <c r="W97"/>
      <c r="X97"/>
    </row>
    <row r="98" spans="1:24" ht="12.75" customHeight="1">
      <c r="A98" s="144" t="s">
        <v>77</v>
      </c>
      <c r="B98" s="145"/>
      <c r="C98" s="107">
        <f>[1]!SummAdjacentWaysPY</f>
        <v>0</v>
      </c>
      <c r="D98" s="107">
        <f>[1]!SummAdjacentWaysBY</f>
        <v>0</v>
      </c>
      <c r="E98" s="109">
        <f t="shared" si="10"/>
        <v>0</v>
      </c>
      <c r="F98" s="187">
        <f t="shared" si="11"/>
        <v>0</v>
      </c>
      <c r="G98" s="188"/>
      <c r="H98" s="130"/>
      <c r="I98" s="130"/>
      <c r="J98" s="130"/>
      <c r="K98" s="130"/>
      <c r="L98"/>
      <c r="M98"/>
      <c r="N98"/>
      <c r="O98"/>
      <c r="P98"/>
      <c r="Q98"/>
      <c r="R98"/>
      <c r="S98"/>
      <c r="T98"/>
      <c r="U98"/>
      <c r="V98"/>
      <c r="W98"/>
      <c r="X98"/>
    </row>
    <row r="99" spans="1:24" ht="12.75" customHeight="1">
      <c r="A99" s="144" t="s">
        <v>78</v>
      </c>
      <c r="B99" s="145"/>
      <c r="C99" s="107">
        <f>[1]!SummDebtServicePY</f>
        <v>10441275</v>
      </c>
      <c r="D99" s="107">
        <f>[1]!SumDebtServiceBY</f>
        <v>9060875</v>
      </c>
      <c r="E99" s="109">
        <f t="shared" si="10"/>
        <v>-1380400</v>
      </c>
      <c r="F99" s="187">
        <f t="shared" si="11"/>
        <v>-0.13220607636519485</v>
      </c>
      <c r="G99" s="188"/>
      <c r="H99" s="130"/>
      <c r="I99" s="130"/>
      <c r="J99" s="130"/>
      <c r="K99" s="130"/>
      <c r="L99"/>
      <c r="M99"/>
      <c r="N99"/>
      <c r="O99"/>
      <c r="P99"/>
      <c r="Q99"/>
      <c r="R99"/>
      <c r="S99"/>
      <c r="T99"/>
      <c r="U99"/>
      <c r="V99"/>
      <c r="W99"/>
      <c r="X99"/>
    </row>
    <row r="100" spans="1:24" ht="12.75" customHeight="1">
      <c r="A100" s="149" t="s">
        <v>79</v>
      </c>
      <c r="B100" s="56"/>
      <c r="C100" s="113">
        <f>[1]!SummSchoolPlantPY</f>
        <v>800000</v>
      </c>
      <c r="D100" s="107">
        <f>[1]!SummSchoolPlantBY</f>
        <v>900000</v>
      </c>
      <c r="E100" s="109">
        <f t="shared" si="10"/>
        <v>100000</v>
      </c>
      <c r="F100" s="187">
        <f t="shared" si="11"/>
        <v>0.125</v>
      </c>
      <c r="G100" s="188"/>
      <c r="H100" s="130"/>
      <c r="I100" s="130"/>
      <c r="J100" s="130"/>
      <c r="K100" s="130"/>
      <c r="L100"/>
      <c r="M100"/>
      <c r="N100"/>
      <c r="O100"/>
      <c r="P100"/>
      <c r="Q100"/>
      <c r="R100"/>
      <c r="S100"/>
      <c r="T100"/>
      <c r="U100"/>
      <c r="V100"/>
      <c r="W100"/>
      <c r="X100"/>
    </row>
    <row r="101" spans="1:24" ht="12.75" customHeight="1">
      <c r="A101" s="144" t="s">
        <v>80</v>
      </c>
      <c r="B101" s="145"/>
      <c r="C101" s="107">
        <f>[1]!SummAuxOpsPY</f>
        <v>925000</v>
      </c>
      <c r="D101" s="107">
        <f>[1]!SummAuxOpsBY</f>
        <v>950000</v>
      </c>
      <c r="E101" s="109">
        <f t="shared" si="10"/>
        <v>25000</v>
      </c>
      <c r="F101" s="187">
        <f t="shared" si="11"/>
        <v>2.7027027027027029E-2</v>
      </c>
      <c r="G101" s="188"/>
      <c r="H101" s="130"/>
      <c r="I101" s="130"/>
      <c r="J101" s="130"/>
      <c r="K101" s="130"/>
      <c r="L101"/>
      <c r="M101"/>
      <c r="N101"/>
      <c r="O101"/>
      <c r="P101"/>
      <c r="Q101"/>
      <c r="R101"/>
      <c r="S101"/>
      <c r="T101"/>
      <c r="U101"/>
      <c r="V101"/>
      <c r="W101"/>
      <c r="X101"/>
    </row>
    <row r="102" spans="1:24" ht="12.75" customHeight="1">
      <c r="A102" s="144" t="s">
        <v>81</v>
      </c>
      <c r="B102" s="145"/>
      <c r="C102" s="107">
        <f>[1]!SummBondBuildingPY</f>
        <v>18000000</v>
      </c>
      <c r="D102" s="107">
        <f>[1]!SummBondBuildingBY</f>
        <v>40000000</v>
      </c>
      <c r="E102" s="109">
        <f t="shared" si="10"/>
        <v>22000000</v>
      </c>
      <c r="F102" s="187">
        <f t="shared" si="11"/>
        <v>1.2222222222222223</v>
      </c>
      <c r="G102" s="188"/>
      <c r="H102" s="130"/>
      <c r="I102" s="130"/>
      <c r="J102" s="130"/>
      <c r="K102" s="130"/>
      <c r="L102"/>
      <c r="M102"/>
      <c r="N102"/>
      <c r="O102"/>
      <c r="P102"/>
      <c r="Q102"/>
      <c r="R102"/>
      <c r="S102"/>
      <c r="T102"/>
      <c r="U102"/>
      <c r="V102"/>
      <c r="W102"/>
      <c r="X102"/>
    </row>
    <row r="103" spans="1:24" ht="12.75" customHeight="1">
      <c r="A103" s="144" t="s">
        <v>82</v>
      </c>
      <c r="B103" s="145"/>
      <c r="C103" s="107">
        <f>[1]!SummFoodServicePY</f>
        <v>3865397</v>
      </c>
      <c r="D103" s="107">
        <f>[1]!SummFoodServiceBY</f>
        <v>4240868</v>
      </c>
      <c r="E103" s="109">
        <f t="shared" si="10"/>
        <v>375471</v>
      </c>
      <c r="F103" s="187">
        <f t="shared" si="11"/>
        <v>9.7136464896102517E-2</v>
      </c>
      <c r="G103" s="188"/>
      <c r="H103" s="130"/>
      <c r="I103" s="130"/>
      <c r="J103" s="130"/>
      <c r="K103" s="130"/>
      <c r="L103"/>
      <c r="M103"/>
      <c r="N103"/>
      <c r="O103"/>
      <c r="P103"/>
      <c r="Q103"/>
      <c r="R103"/>
      <c r="S103"/>
      <c r="T103"/>
      <c r="U103"/>
      <c r="V103"/>
      <c r="W103"/>
      <c r="X103"/>
    </row>
    <row r="104" spans="1:24" ht="12.75" customHeight="1">
      <c r="A104" s="150" t="s">
        <v>36</v>
      </c>
      <c r="B104" s="151"/>
      <c r="C104" s="113">
        <f>[1]!SummOtherPY</f>
        <v>11032556</v>
      </c>
      <c r="D104" s="113">
        <f>[1]!SummOtherBY</f>
        <v>9315619</v>
      </c>
      <c r="E104" s="112">
        <f t="shared" si="10"/>
        <v>-1716937</v>
      </c>
      <c r="F104" s="206">
        <f t="shared" si="11"/>
        <v>-0.15562458962365566</v>
      </c>
      <c r="G104" s="207"/>
      <c r="H104" s="130"/>
      <c r="I104" s="130"/>
      <c r="J104" s="130"/>
      <c r="K104" s="130"/>
      <c r="L104"/>
      <c r="M104"/>
      <c r="N104"/>
      <c r="O104"/>
      <c r="P104"/>
      <c r="Q104"/>
      <c r="R104"/>
      <c r="S104"/>
      <c r="T104"/>
      <c r="U104"/>
      <c r="V104"/>
      <c r="W104"/>
      <c r="X104"/>
    </row>
    <row r="105" spans="1:24" ht="12" customHeight="1">
      <c r="A105" s="28"/>
      <c r="B105" s="28"/>
      <c r="C105" s="28"/>
      <c r="D105" s="28"/>
      <c r="E105" s="28"/>
      <c r="F105" s="28"/>
      <c r="G105" s="28"/>
      <c r="H105" s="28"/>
      <c r="I105" s="130"/>
      <c r="J105" s="130"/>
      <c r="K105" s="130"/>
      <c r="L105" s="130"/>
      <c r="M105" s="130"/>
      <c r="N105"/>
      <c r="O105"/>
      <c r="P105"/>
      <c r="Q105"/>
      <c r="R105"/>
      <c r="S105"/>
      <c r="T105"/>
      <c r="U105"/>
      <c r="V105"/>
      <c r="W105"/>
      <c r="X105"/>
    </row>
    <row r="106" spans="1:24" ht="13.5" customHeight="1">
      <c r="A106" s="197" t="s">
        <v>83</v>
      </c>
      <c r="B106" s="198"/>
      <c r="C106" s="198"/>
      <c r="D106" s="198"/>
      <c r="E106" s="199"/>
      <c r="F106"/>
      <c r="G106"/>
      <c r="H106"/>
      <c r="I106"/>
      <c r="J106"/>
      <c r="K106"/>
      <c r="L106"/>
      <c r="M106" s="130"/>
      <c r="N106"/>
      <c r="O106"/>
      <c r="P106"/>
      <c r="Q106"/>
      <c r="R106"/>
      <c r="S106"/>
      <c r="T106"/>
      <c r="U106"/>
      <c r="V106"/>
      <c r="W106"/>
      <c r="X106"/>
    </row>
    <row r="107" spans="1:24" ht="13.5" thickBot="1">
      <c r="A107" s="194" t="s">
        <v>85</v>
      </c>
      <c r="B107" s="195"/>
      <c r="C107" s="196"/>
      <c r="D107" s="133" t="s">
        <v>39</v>
      </c>
      <c r="E107" s="133" t="s">
        <v>31</v>
      </c>
      <c r="F107"/>
      <c r="G107"/>
      <c r="H107"/>
      <c r="I107"/>
      <c r="J107"/>
      <c r="K107"/>
      <c r="L107"/>
      <c r="M107"/>
      <c r="N107"/>
      <c r="O107"/>
      <c r="P107"/>
      <c r="Q107"/>
      <c r="R107"/>
      <c r="S107"/>
      <c r="T107"/>
      <c r="U107"/>
      <c r="V107"/>
      <c r="W107"/>
      <c r="X107"/>
    </row>
    <row r="108" spans="1:24">
      <c r="A108" s="51" t="s">
        <v>86</v>
      </c>
      <c r="B108" s="152"/>
      <c r="C108" s="153"/>
      <c r="D108" s="154">
        <f>[1]!SummAllDisabilityPY</f>
        <v>11475118</v>
      </c>
      <c r="E108" s="154">
        <f>[1]!SummAllDisabilityBY</f>
        <v>11604865</v>
      </c>
      <c r="F108"/>
      <c r="G108"/>
      <c r="H108"/>
      <c r="I108"/>
      <c r="J108"/>
      <c r="K108"/>
      <c r="L108"/>
      <c r="M108"/>
      <c r="N108"/>
      <c r="O108"/>
      <c r="P108"/>
      <c r="Q108"/>
      <c r="R108"/>
      <c r="S108"/>
      <c r="T108"/>
      <c r="U108"/>
      <c r="V108"/>
      <c r="W108"/>
      <c r="X108"/>
    </row>
    <row r="109" spans="1:24">
      <c r="A109" s="144" t="s">
        <v>88</v>
      </c>
      <c r="B109" s="155"/>
      <c r="C109" s="121"/>
      <c r="D109" s="111">
        <f>[1]!SummGiftedPY</f>
        <v>65000</v>
      </c>
      <c r="E109" s="111">
        <f>[1]!SummGiftedBY</f>
        <v>63000</v>
      </c>
      <c r="F109"/>
      <c r="G109"/>
      <c r="H109"/>
      <c r="I109"/>
      <c r="J109"/>
      <c r="K109"/>
      <c r="L109"/>
      <c r="M109"/>
      <c r="N109"/>
      <c r="O109"/>
      <c r="P109"/>
      <c r="Q109"/>
      <c r="R109"/>
      <c r="S109"/>
      <c r="T109"/>
      <c r="U109"/>
      <c r="V109"/>
      <c r="W109"/>
      <c r="X109"/>
    </row>
    <row r="110" spans="1:24">
      <c r="A110" s="144" t="s">
        <v>90</v>
      </c>
      <c r="B110" s="155"/>
      <c r="C110" s="121"/>
      <c r="D110" s="111">
        <f>[1]!SummRemedialPY</f>
        <v>0</v>
      </c>
      <c r="E110" s="111">
        <f>[1]!SummRemedialBY</f>
        <v>0</v>
      </c>
      <c r="F110"/>
      <c r="G110"/>
      <c r="H110"/>
      <c r="I110"/>
      <c r="J110"/>
      <c r="K110"/>
      <c r="L110"/>
      <c r="M110"/>
      <c r="N110"/>
      <c r="O110"/>
      <c r="P110"/>
      <c r="Q110"/>
      <c r="R110"/>
      <c r="S110"/>
      <c r="T110"/>
      <c r="U110"/>
      <c r="V110"/>
      <c r="W110"/>
      <c r="X110"/>
    </row>
    <row r="111" spans="1:24">
      <c r="A111" s="156" t="s">
        <v>92</v>
      </c>
      <c r="B111" s="138"/>
      <c r="C111" s="121"/>
      <c r="D111" s="111">
        <f>[1]!SummELLIncrementalPY</f>
        <v>0</v>
      </c>
      <c r="E111" s="111">
        <f>[1]!SummELLIncrementalBY</f>
        <v>0</v>
      </c>
      <c r="F111"/>
      <c r="G111"/>
      <c r="H111"/>
      <c r="I111"/>
      <c r="J111"/>
      <c r="K111"/>
      <c r="L111"/>
      <c r="M111"/>
      <c r="N111"/>
      <c r="O111"/>
      <c r="P111"/>
      <c r="Q111"/>
      <c r="R111"/>
      <c r="S111"/>
      <c r="T111"/>
      <c r="U111"/>
      <c r="V111"/>
      <c r="W111"/>
      <c r="X111"/>
    </row>
    <row r="112" spans="1:24">
      <c r="A112" s="156" t="s">
        <v>93</v>
      </c>
      <c r="B112" s="138"/>
      <c r="C112" s="121"/>
      <c r="D112" s="111">
        <f>[1]!SPEDELLCompInstrCurrFY</f>
        <v>0</v>
      </c>
      <c r="E112" s="111">
        <f>[1]!SummELLCompInstBY</f>
        <v>0</v>
      </c>
      <c r="F112"/>
      <c r="G112"/>
      <c r="H112"/>
      <c r="I112"/>
      <c r="J112"/>
      <c r="K112"/>
      <c r="L112"/>
      <c r="M112"/>
      <c r="N112"/>
      <c r="O112"/>
      <c r="P112"/>
      <c r="Q112"/>
      <c r="R112"/>
      <c r="S112"/>
      <c r="T112"/>
      <c r="U112"/>
      <c r="V112"/>
      <c r="W112"/>
      <c r="X112"/>
    </row>
    <row r="113" spans="1:24">
      <c r="A113" s="144" t="s">
        <v>119</v>
      </c>
      <c r="B113" s="155"/>
      <c r="C113" s="121"/>
      <c r="D113" s="111">
        <f>[1]!SummVocandTechEdPY</f>
        <v>1000000</v>
      </c>
      <c r="E113" s="111">
        <f>[1]!SummVocandTechEdBY</f>
        <v>1050000</v>
      </c>
      <c r="F113"/>
      <c r="G113"/>
      <c r="H113"/>
      <c r="I113"/>
      <c r="J113"/>
      <c r="K113"/>
      <c r="L113"/>
      <c r="M113"/>
      <c r="N113"/>
      <c r="O113"/>
      <c r="P113"/>
      <c r="Q113"/>
      <c r="R113"/>
      <c r="S113"/>
      <c r="T113"/>
      <c r="U113"/>
      <c r="V113"/>
      <c r="W113"/>
      <c r="X113"/>
    </row>
    <row r="114" spans="1:24">
      <c r="A114" s="144" t="s">
        <v>121</v>
      </c>
      <c r="B114" s="155"/>
      <c r="C114" s="121"/>
      <c r="D114" s="113">
        <f>[1]!SummCareerEdPY</f>
        <v>0</v>
      </c>
      <c r="E114" s="113">
        <f>[1]!SummCareerEdBY</f>
        <v>0</v>
      </c>
      <c r="F114"/>
      <c r="G114"/>
      <c r="H114"/>
      <c r="I114"/>
      <c r="J114"/>
      <c r="K114"/>
      <c r="L114"/>
      <c r="M114"/>
      <c r="N114"/>
      <c r="O114"/>
      <c r="P114"/>
      <c r="Q114"/>
      <c r="R114"/>
      <c r="S114"/>
      <c r="T114"/>
      <c r="U114"/>
      <c r="V114"/>
      <c r="W114"/>
      <c r="X114"/>
    </row>
    <row r="115" spans="1:24" ht="13.5" thickBot="1">
      <c r="A115" s="156" t="s">
        <v>120</v>
      </c>
      <c r="B115" s="138"/>
      <c r="C115" s="121"/>
      <c r="D115" s="157">
        <f>[1]!SummCTEDPY</f>
        <v>0</v>
      </c>
      <c r="E115" s="157">
        <f>[1]!SummCTEDBY</f>
        <v>0</v>
      </c>
      <c r="F115"/>
      <c r="G115"/>
      <c r="H115"/>
      <c r="I115"/>
      <c r="J115"/>
      <c r="K115"/>
      <c r="L115"/>
      <c r="M115"/>
      <c r="N115"/>
      <c r="O115"/>
      <c r="P115"/>
      <c r="Q115"/>
      <c r="R115"/>
      <c r="S115"/>
      <c r="T115"/>
      <c r="U115"/>
      <c r="V115"/>
      <c r="W115"/>
      <c r="X115"/>
    </row>
    <row r="116" spans="1:24" ht="13.5" thickBot="1">
      <c r="A116" s="158" t="s">
        <v>96</v>
      </c>
      <c r="B116" s="159"/>
      <c r="C116" s="160"/>
      <c r="D116" s="161">
        <f>[1]!SummSpecEdTotalPY</f>
        <v>12540118</v>
      </c>
      <c r="E116" s="161">
        <f>[1]!SummSpecEdTotalBY</f>
        <v>12717865</v>
      </c>
      <c r="F116"/>
      <c r="G116"/>
      <c r="H116"/>
      <c r="I116"/>
      <c r="J116"/>
      <c r="K116"/>
      <c r="L116"/>
      <c r="M116"/>
      <c r="N116"/>
      <c r="O116"/>
      <c r="P116"/>
      <c r="Q116"/>
      <c r="R116"/>
      <c r="S116"/>
      <c r="T116"/>
      <c r="U116"/>
      <c r="V116"/>
      <c r="W116"/>
      <c r="X116"/>
    </row>
    <row r="117" spans="1:24" ht="12" customHeight="1" thickTop="1">
      <c r="A117" s="21"/>
      <c r="B117" s="21"/>
      <c r="C117" s="21"/>
      <c r="D117" s="21"/>
      <c r="E117" s="126"/>
      <c r="F117"/>
      <c r="G117"/>
      <c r="H117"/>
      <c r="I117"/>
      <c r="J117"/>
      <c r="K117"/>
      <c r="L117"/>
      <c r="M117"/>
      <c r="N117"/>
      <c r="O117"/>
      <c r="P117"/>
      <c r="Q117"/>
      <c r="R117"/>
      <c r="S117"/>
      <c r="T117"/>
      <c r="U117"/>
      <c r="V117"/>
      <c r="W117"/>
      <c r="X117"/>
    </row>
    <row r="118" spans="1:24">
      <c r="A118" s="189" t="s">
        <v>84</v>
      </c>
      <c r="B118" s="190"/>
      <c r="C118" s="190"/>
      <c r="D118" s="190"/>
      <c r="E118" s="190"/>
      <c r="F118" s="190"/>
      <c r="G118" s="190"/>
      <c r="H118" s="190"/>
      <c r="I118" s="191"/>
      <c r="J118"/>
      <c r="K118"/>
      <c r="L118"/>
      <c r="M118"/>
      <c r="N118"/>
      <c r="O118"/>
      <c r="P118"/>
      <c r="Q118"/>
      <c r="R118"/>
      <c r="S118"/>
      <c r="T118"/>
      <c r="U118"/>
      <c r="V118"/>
      <c r="W118"/>
      <c r="X118"/>
    </row>
    <row r="119" spans="1:24" ht="42.75">
      <c r="A119" s="193" t="s">
        <v>87</v>
      </c>
      <c r="B119" s="193"/>
      <c r="C119" s="193"/>
      <c r="D119" s="162" t="s">
        <v>130</v>
      </c>
      <c r="E119" s="163" t="s">
        <v>123</v>
      </c>
      <c r="F119" s="192" t="s">
        <v>124</v>
      </c>
      <c r="G119" s="192"/>
      <c r="H119" s="193" t="s">
        <v>122</v>
      </c>
      <c r="I119" s="193"/>
      <c r="J119"/>
      <c r="K119"/>
      <c r="L119"/>
      <c r="M119"/>
      <c r="N119"/>
      <c r="O119"/>
      <c r="P119"/>
      <c r="Q119"/>
      <c r="R119"/>
      <c r="S119"/>
      <c r="T119"/>
      <c r="U119"/>
      <c r="V119"/>
      <c r="W119"/>
      <c r="X119"/>
    </row>
    <row r="120" spans="1:24">
      <c r="A120" s="144" t="s">
        <v>89</v>
      </c>
      <c r="C120" s="155"/>
      <c r="D120"/>
      <c r="E120"/>
      <c r="F120"/>
      <c r="G120" s="29"/>
      <c r="H120" s="164"/>
      <c r="I120" s="165"/>
      <c r="J120"/>
      <c r="K120"/>
      <c r="L120"/>
      <c r="M120"/>
      <c r="N120"/>
      <c r="O120"/>
      <c r="P120"/>
      <c r="Q120"/>
      <c r="R120"/>
      <c r="S120"/>
      <c r="T120"/>
      <c r="U120"/>
      <c r="V120"/>
      <c r="W120"/>
      <c r="X120"/>
    </row>
    <row r="121" spans="1:24">
      <c r="A121" s="144" t="s">
        <v>125</v>
      </c>
      <c r="C121" s="28"/>
      <c r="D121" s="166">
        <f>[1]!ContractFTEAdmin</f>
        <v>0</v>
      </c>
      <c r="E121" s="166">
        <f>[1]!EmployeeFTEAdmin</f>
        <v>38</v>
      </c>
      <c r="F121" s="186">
        <f>[1]!TotalFTEAdmin</f>
        <v>38</v>
      </c>
      <c r="G121" s="186"/>
      <c r="H121" s="167" t="s">
        <v>91</v>
      </c>
      <c r="I121" s="168">
        <f>[1]!RatioAdmin</f>
        <v>226.5</v>
      </c>
      <c r="J121"/>
      <c r="K121"/>
      <c r="L121"/>
      <c r="M121"/>
      <c r="N121"/>
      <c r="O121"/>
      <c r="P121"/>
      <c r="Q121"/>
      <c r="R121"/>
      <c r="S121"/>
      <c r="T121"/>
      <c r="U121"/>
      <c r="V121"/>
      <c r="W121"/>
      <c r="X121"/>
    </row>
    <row r="122" spans="1:24">
      <c r="A122" s="144" t="s">
        <v>94</v>
      </c>
      <c r="C122" s="28"/>
      <c r="D122" s="166">
        <f>[1]!ContractFTETeachers</f>
        <v>0</v>
      </c>
      <c r="E122" s="166">
        <f>[1]!EmployeeFTETeachers</f>
        <v>546</v>
      </c>
      <c r="F122" s="186">
        <f>[1]!TotalFTETeachers</f>
        <v>546</v>
      </c>
      <c r="G122" s="186"/>
      <c r="H122" s="169" t="s">
        <v>91</v>
      </c>
      <c r="I122" s="168">
        <f>[1]!RatioTeachers</f>
        <v>15.8</v>
      </c>
      <c r="J122"/>
      <c r="K122"/>
      <c r="L122"/>
      <c r="M122"/>
      <c r="N122"/>
      <c r="O122"/>
      <c r="P122"/>
      <c r="Q122"/>
      <c r="R122"/>
      <c r="S122"/>
      <c r="T122"/>
      <c r="U122"/>
      <c r="V122"/>
      <c r="W122"/>
      <c r="X122"/>
    </row>
    <row r="123" spans="1:24">
      <c r="A123" s="144" t="s">
        <v>36</v>
      </c>
      <c r="C123" s="28"/>
      <c r="D123" s="166">
        <f>[1]!ContractFTECertOther</f>
        <v>0</v>
      </c>
      <c r="E123" s="166">
        <f>[1]!EmployeeFTECertOther</f>
        <v>77</v>
      </c>
      <c r="F123" s="186">
        <f>[1]!TotalFTECertOther</f>
        <v>77</v>
      </c>
      <c r="G123" s="186"/>
      <c r="H123" s="169" t="s">
        <v>91</v>
      </c>
      <c r="I123" s="168">
        <f>[1]!RatioCertOther</f>
        <v>111.8</v>
      </c>
      <c r="J123"/>
      <c r="K123"/>
      <c r="L123"/>
      <c r="M123"/>
      <c r="N123"/>
      <c r="O123"/>
      <c r="P123"/>
      <c r="Q123"/>
      <c r="R123"/>
      <c r="S123"/>
      <c r="T123"/>
      <c r="U123"/>
      <c r="V123"/>
      <c r="W123"/>
      <c r="X123"/>
    </row>
    <row r="124" spans="1:24">
      <c r="A124" s="170" t="s">
        <v>128</v>
      </c>
      <c r="D124" s="166">
        <f>[1]!ContractFTECertSubtotal</f>
        <v>0</v>
      </c>
      <c r="E124" s="166">
        <f>[1]!EmployeeFTECertSubtotal</f>
        <v>661</v>
      </c>
      <c r="F124" s="186">
        <f>[1]!TotalFTECertSubtotal</f>
        <v>661</v>
      </c>
      <c r="G124" s="186"/>
      <c r="H124" s="169" t="s">
        <v>91</v>
      </c>
      <c r="I124" s="168">
        <f>[1]!RatioCertSubtotal</f>
        <v>13</v>
      </c>
      <c r="J124"/>
      <c r="K124"/>
      <c r="L124"/>
      <c r="M124"/>
      <c r="N124"/>
      <c r="O124"/>
      <c r="P124"/>
      <c r="Q124"/>
      <c r="R124"/>
      <c r="S124"/>
      <c r="T124"/>
      <c r="U124"/>
      <c r="V124"/>
      <c r="W124"/>
      <c r="X124"/>
    </row>
    <row r="125" spans="1:24">
      <c r="A125" s="144" t="s">
        <v>95</v>
      </c>
      <c r="C125" s="155"/>
      <c r="D125" s="56"/>
      <c r="E125" s="56"/>
      <c r="F125" s="184"/>
      <c r="G125" s="184"/>
      <c r="H125" s="171"/>
      <c r="I125" s="168"/>
      <c r="J125"/>
      <c r="K125"/>
      <c r="L125"/>
      <c r="M125"/>
      <c r="N125"/>
      <c r="O125"/>
      <c r="P125"/>
      <c r="Q125"/>
      <c r="R125"/>
      <c r="S125"/>
      <c r="T125"/>
      <c r="U125"/>
      <c r="V125"/>
      <c r="W125"/>
      <c r="X125"/>
    </row>
    <row r="126" spans="1:24">
      <c r="A126" s="144" t="s">
        <v>97</v>
      </c>
      <c r="C126" s="28"/>
      <c r="D126" s="166">
        <f>[1]!ContractFTEManagers</f>
        <v>0</v>
      </c>
      <c r="E126" s="166">
        <f>[1]!EmployeeFTEManagers</f>
        <v>29</v>
      </c>
      <c r="F126" s="186">
        <f>[1]!TotalFTEManagers</f>
        <v>29</v>
      </c>
      <c r="G126" s="186"/>
      <c r="H126" s="172" t="s">
        <v>91</v>
      </c>
      <c r="I126" s="168">
        <f>[1]!RatioManagers</f>
        <v>296.7</v>
      </c>
      <c r="J126"/>
      <c r="K126"/>
      <c r="L126"/>
      <c r="M126"/>
      <c r="N126"/>
      <c r="O126"/>
      <c r="P126"/>
      <c r="Q126"/>
      <c r="R126"/>
      <c r="S126"/>
      <c r="T126"/>
      <c r="U126"/>
      <c r="V126"/>
      <c r="W126"/>
      <c r="X126"/>
    </row>
    <row r="127" spans="1:24">
      <c r="A127" s="144" t="s">
        <v>98</v>
      </c>
      <c r="C127" s="28"/>
      <c r="D127" s="166">
        <f>[1]!ContractFTETeachersAids</f>
        <v>0</v>
      </c>
      <c r="E127" s="166">
        <f>[1]!EmployeeFTETeachersAides</f>
        <v>120</v>
      </c>
      <c r="F127" s="186">
        <f>[1]!TotalFTETeachersAides</f>
        <v>120</v>
      </c>
      <c r="G127" s="186"/>
      <c r="H127" s="169" t="s">
        <v>91</v>
      </c>
      <c r="I127" s="168">
        <f>[1]!RatioTeachersAides</f>
        <v>71.7</v>
      </c>
      <c r="J127"/>
      <c r="K127"/>
      <c r="L127"/>
      <c r="M127"/>
      <c r="N127"/>
      <c r="O127"/>
      <c r="P127"/>
      <c r="Q127"/>
      <c r="R127"/>
      <c r="S127"/>
      <c r="T127"/>
      <c r="U127"/>
      <c r="V127"/>
      <c r="W127"/>
      <c r="X127"/>
    </row>
    <row r="128" spans="1:24">
      <c r="A128" s="144" t="s">
        <v>36</v>
      </c>
      <c r="C128" s="28"/>
      <c r="D128" s="166">
        <f>[1]!ContractFTEClassOther</f>
        <v>0</v>
      </c>
      <c r="E128" s="166">
        <f>[1]!EmployeeFTEClassOther</f>
        <v>332</v>
      </c>
      <c r="F128" s="186">
        <f>[1]!TotalFTEClassOther</f>
        <v>332</v>
      </c>
      <c r="G128" s="186"/>
      <c r="H128" s="169" t="s">
        <v>91</v>
      </c>
      <c r="I128" s="168">
        <f>[1]!RatioClassOther</f>
        <v>25.9</v>
      </c>
      <c r="J128"/>
      <c r="K128"/>
      <c r="L128"/>
      <c r="M128"/>
      <c r="N128"/>
      <c r="O128"/>
      <c r="P128"/>
      <c r="Q128"/>
      <c r="R128"/>
      <c r="S128"/>
      <c r="T128"/>
      <c r="U128"/>
      <c r="V128"/>
      <c r="W128"/>
      <c r="X128"/>
    </row>
    <row r="129" spans="1:24">
      <c r="A129" s="170" t="s">
        <v>128</v>
      </c>
      <c r="D129" s="166">
        <f>[1]!ContractFTEClassSubtotal</f>
        <v>0</v>
      </c>
      <c r="E129" s="166">
        <f>[1]!EmployeeFTEClassSubtotal</f>
        <v>481</v>
      </c>
      <c r="F129" s="186">
        <f>[1]!TotalFTEClassSubtotal</f>
        <v>481</v>
      </c>
      <c r="G129" s="186"/>
      <c r="H129" s="169" t="s">
        <v>91</v>
      </c>
      <c r="I129" s="168">
        <f>[1]!RatioClassSubtotal</f>
        <v>17.899999999999999</v>
      </c>
      <c r="J129"/>
      <c r="K129"/>
      <c r="L129"/>
      <c r="M129"/>
      <c r="N129"/>
      <c r="O129"/>
      <c r="P129"/>
      <c r="Q129"/>
      <c r="R129"/>
      <c r="S129"/>
      <c r="T129"/>
      <c r="U129"/>
      <c r="V129"/>
      <c r="W129"/>
      <c r="X129"/>
    </row>
    <row r="130" spans="1:24">
      <c r="A130" s="170" t="s">
        <v>129</v>
      </c>
      <c r="D130" s="166">
        <f>[1]!ContractFTETotal</f>
        <v>0</v>
      </c>
      <c r="E130" s="166">
        <f>[1]!EmployeeFTETotal</f>
        <v>1142</v>
      </c>
      <c r="F130" s="186">
        <f>[1]!TotalFTETotal</f>
        <v>1142</v>
      </c>
      <c r="G130" s="186"/>
      <c r="H130" s="169" t="s">
        <v>91</v>
      </c>
      <c r="I130" s="168">
        <f>[1]!RatioTotal</f>
        <v>7.5</v>
      </c>
      <c r="J130"/>
      <c r="K130"/>
      <c r="L130"/>
      <c r="M130"/>
      <c r="N130"/>
      <c r="O130"/>
      <c r="P130"/>
      <c r="Q130"/>
      <c r="R130"/>
      <c r="S130"/>
      <c r="T130"/>
      <c r="U130"/>
      <c r="V130"/>
      <c r="W130"/>
      <c r="X130"/>
    </row>
    <row r="131" spans="1:24">
      <c r="A131" s="170"/>
      <c r="C131" s="171"/>
      <c r="D131" s="56"/>
      <c r="E131" s="56"/>
      <c r="F131" s="184"/>
      <c r="G131" s="184"/>
      <c r="H131" s="173"/>
      <c r="I131" s="174"/>
      <c r="J131"/>
      <c r="K131"/>
      <c r="L131"/>
      <c r="M131"/>
      <c r="N131"/>
      <c r="O131"/>
      <c r="P131"/>
      <c r="Q131"/>
      <c r="R131"/>
      <c r="S131"/>
      <c r="T131"/>
      <c r="U131"/>
      <c r="V131"/>
      <c r="W131"/>
      <c r="X131"/>
    </row>
    <row r="132" spans="1:24">
      <c r="A132" s="170" t="s">
        <v>99</v>
      </c>
      <c r="C132" s="171"/>
      <c r="D132" s="56"/>
      <c r="E132" s="56"/>
      <c r="F132" s="184"/>
      <c r="G132" s="184"/>
      <c r="H132" s="173"/>
      <c r="I132" s="175"/>
      <c r="J132"/>
      <c r="K132"/>
      <c r="L132"/>
      <c r="M132"/>
      <c r="N132"/>
      <c r="O132"/>
      <c r="P132"/>
      <c r="Q132"/>
      <c r="R132"/>
      <c r="S132"/>
      <c r="T132"/>
      <c r="U132"/>
      <c r="V132"/>
      <c r="W132"/>
      <c r="X132"/>
    </row>
    <row r="133" spans="1:24">
      <c r="A133" s="170" t="s">
        <v>100</v>
      </c>
      <c r="C133" s="155"/>
      <c r="D133" s="176">
        <f>[1]!ContractFTESpecEdTeacher</f>
        <v>0</v>
      </c>
      <c r="E133" s="176">
        <f>[1]!EmployeeFTESpecEdTeacher</f>
        <v>79</v>
      </c>
      <c r="F133" s="185">
        <f>[1]!TotalFTESpecEdTeacher</f>
        <v>79</v>
      </c>
      <c r="G133" s="185"/>
      <c r="H133" s="177" t="s">
        <v>101</v>
      </c>
      <c r="I133" s="178">
        <f>[1]!SPEDTeacher</f>
        <v>21</v>
      </c>
      <c r="J133"/>
      <c r="K133"/>
      <c r="L133"/>
      <c r="M133"/>
      <c r="N133"/>
      <c r="O133"/>
      <c r="P133"/>
      <c r="Q133"/>
      <c r="R133"/>
      <c r="S133"/>
      <c r="T133"/>
      <c r="U133"/>
      <c r="V133"/>
      <c r="W133"/>
      <c r="X133"/>
    </row>
    <row r="134" spans="1:24">
      <c r="A134" s="179" t="s">
        <v>102</v>
      </c>
      <c r="B134" s="78"/>
      <c r="C134" s="180"/>
      <c r="D134" s="176">
        <f>[1]!ContractFTESpecEdStaff</f>
        <v>0</v>
      </c>
      <c r="E134" s="176">
        <f>[1]!EmployeeFTESpecEdStaff</f>
        <v>169</v>
      </c>
      <c r="F134" s="185">
        <f>[1]!TotalFTESpecEdStaff</f>
        <v>169</v>
      </c>
      <c r="G134" s="185"/>
      <c r="H134" s="177" t="s">
        <v>101</v>
      </c>
      <c r="I134" s="181">
        <f>[1]!SPEDStaff</f>
        <v>9.8000000000000007</v>
      </c>
      <c r="J134"/>
      <c r="K134"/>
      <c r="L134"/>
      <c r="M134"/>
      <c r="N134"/>
      <c r="O134"/>
      <c r="P134"/>
      <c r="Q134"/>
      <c r="R134"/>
      <c r="S134"/>
      <c r="T134"/>
      <c r="U134"/>
      <c r="V134"/>
      <c r="W134"/>
      <c r="X134"/>
    </row>
  </sheetData>
  <sheetProtection formatCells="0" formatColumns="0" formatRows="0"/>
  <mergeCells count="161">
    <mergeCell ref="A31:A32"/>
    <mergeCell ref="A12:L12"/>
    <mergeCell ref="C13:D13"/>
    <mergeCell ref="I13:J13"/>
    <mergeCell ref="B23:D23"/>
    <mergeCell ref="B25:D25"/>
    <mergeCell ref="K21:L21"/>
    <mergeCell ref="K22:L22"/>
    <mergeCell ref="E27:H27"/>
    <mergeCell ref="K30:L30"/>
    <mergeCell ref="K31:L31"/>
    <mergeCell ref="K32:L32"/>
    <mergeCell ref="C14:D14"/>
    <mergeCell ref="A3:L3"/>
    <mergeCell ref="H25:J25"/>
    <mergeCell ref="E26:H26"/>
    <mergeCell ref="A16:L16"/>
    <mergeCell ref="A18:F18"/>
    <mergeCell ref="A19:L19"/>
    <mergeCell ref="A21:H21"/>
    <mergeCell ref="C9:D9"/>
    <mergeCell ref="C10:D10"/>
    <mergeCell ref="C8:I8"/>
    <mergeCell ref="C5:D5"/>
    <mergeCell ref="I5:J5"/>
    <mergeCell ref="A7:L7"/>
    <mergeCell ref="F9:I9"/>
    <mergeCell ref="F23:G23"/>
    <mergeCell ref="I14:J14"/>
    <mergeCell ref="D54:D55"/>
    <mergeCell ref="E54:E55"/>
    <mergeCell ref="H54:H55"/>
    <mergeCell ref="I54:I55"/>
    <mergeCell ref="J54:J55"/>
    <mergeCell ref="D65:D66"/>
    <mergeCell ref="E65:E66"/>
    <mergeCell ref="D67:D68"/>
    <mergeCell ref="E67:E68"/>
    <mergeCell ref="H67:H68"/>
    <mergeCell ref="I67:I68"/>
    <mergeCell ref="F56:G56"/>
    <mergeCell ref="F57:G57"/>
    <mergeCell ref="F52:G53"/>
    <mergeCell ref="F54:G55"/>
    <mergeCell ref="D34:D36"/>
    <mergeCell ref="J78:J79"/>
    <mergeCell ref="A84:G84"/>
    <mergeCell ref="F85:G85"/>
    <mergeCell ref="F91:G91"/>
    <mergeCell ref="D45:L46"/>
    <mergeCell ref="D52:D53"/>
    <mergeCell ref="E52:E53"/>
    <mergeCell ref="H52:H53"/>
    <mergeCell ref="I52:I53"/>
    <mergeCell ref="J52:J53"/>
    <mergeCell ref="F78:G79"/>
    <mergeCell ref="H78:H79"/>
    <mergeCell ref="A34:C36"/>
    <mergeCell ref="E34:E36"/>
    <mergeCell ref="D37:D39"/>
    <mergeCell ref="E37:E39"/>
    <mergeCell ref="A37:C39"/>
    <mergeCell ref="F35:L44"/>
    <mergeCell ref="K62:L62"/>
    <mergeCell ref="K65:L66"/>
    <mergeCell ref="K67:L68"/>
    <mergeCell ref="K69:L69"/>
    <mergeCell ref="F69:G69"/>
    <mergeCell ref="F65:G66"/>
    <mergeCell ref="F67:G68"/>
    <mergeCell ref="F61:G61"/>
    <mergeCell ref="F62:G62"/>
    <mergeCell ref="F63:G63"/>
    <mergeCell ref="K63:L63"/>
    <mergeCell ref="K64:L64"/>
    <mergeCell ref="F64:G64"/>
    <mergeCell ref="J67:J68"/>
    <mergeCell ref="H65:H66"/>
    <mergeCell ref="I65:I66"/>
    <mergeCell ref="J65:J66"/>
    <mergeCell ref="D78:D79"/>
    <mergeCell ref="E78:E79"/>
    <mergeCell ref="F98:G98"/>
    <mergeCell ref="K78:L79"/>
    <mergeCell ref="I78:I79"/>
    <mergeCell ref="K33:L33"/>
    <mergeCell ref="E25:G25"/>
    <mergeCell ref="K60:L60"/>
    <mergeCell ref="F58:G58"/>
    <mergeCell ref="F59:G59"/>
    <mergeCell ref="F60:G60"/>
    <mergeCell ref="K59:L59"/>
    <mergeCell ref="K48:L48"/>
    <mergeCell ref="K49:L49"/>
    <mergeCell ref="K50:L50"/>
    <mergeCell ref="K51:L51"/>
    <mergeCell ref="K52:L53"/>
    <mergeCell ref="K54:L55"/>
    <mergeCell ref="F50:G50"/>
    <mergeCell ref="F51:G51"/>
    <mergeCell ref="K56:L56"/>
    <mergeCell ref="K57:L57"/>
    <mergeCell ref="K58:L58"/>
    <mergeCell ref="K61:L61"/>
    <mergeCell ref="F70:G70"/>
    <mergeCell ref="F71:G71"/>
    <mergeCell ref="F72:G72"/>
    <mergeCell ref="F73:G73"/>
    <mergeCell ref="F77:G77"/>
    <mergeCell ref="F104:G104"/>
    <mergeCell ref="K71:L71"/>
    <mergeCell ref="F93:G93"/>
    <mergeCell ref="F101:G101"/>
    <mergeCell ref="F102:G102"/>
    <mergeCell ref="F103:G103"/>
    <mergeCell ref="K70:L70"/>
    <mergeCell ref="F92:G92"/>
    <mergeCell ref="F74:G74"/>
    <mergeCell ref="F75:G75"/>
    <mergeCell ref="F86:G86"/>
    <mergeCell ref="K80:L80"/>
    <mergeCell ref="K81:L81"/>
    <mergeCell ref="F76:G76"/>
    <mergeCell ref="K73:L73"/>
    <mergeCell ref="K72:L72"/>
    <mergeCell ref="K74:L74"/>
    <mergeCell ref="K75:L75"/>
    <mergeCell ref="K76:L76"/>
    <mergeCell ref="K77:L77"/>
    <mergeCell ref="F96:G96"/>
    <mergeCell ref="F97:G97"/>
    <mergeCell ref="F87:G87"/>
    <mergeCell ref="F88:G88"/>
    <mergeCell ref="F89:G89"/>
    <mergeCell ref="F90:G90"/>
    <mergeCell ref="F94:G94"/>
    <mergeCell ref="F95:G95"/>
    <mergeCell ref="F80:G80"/>
    <mergeCell ref="F81:G81"/>
    <mergeCell ref="F131:G131"/>
    <mergeCell ref="F132:G132"/>
    <mergeCell ref="F133:G133"/>
    <mergeCell ref="F134:G134"/>
    <mergeCell ref="F125:G125"/>
    <mergeCell ref="F126:G126"/>
    <mergeCell ref="F127:G127"/>
    <mergeCell ref="F99:G99"/>
    <mergeCell ref="F128:G128"/>
    <mergeCell ref="F129:G129"/>
    <mergeCell ref="F130:G130"/>
    <mergeCell ref="A118:I118"/>
    <mergeCell ref="F119:G119"/>
    <mergeCell ref="F121:G121"/>
    <mergeCell ref="F122:G122"/>
    <mergeCell ref="F123:G123"/>
    <mergeCell ref="F124:G124"/>
    <mergeCell ref="H119:I119"/>
    <mergeCell ref="A119:C119"/>
    <mergeCell ref="F100:G100"/>
    <mergeCell ref="A107:C107"/>
    <mergeCell ref="A106:E106"/>
  </mergeCells>
  <dataValidations xWindow="730" yWindow="350" count="2">
    <dataValidation type="decimal" operator="greaterThanOrEqual" allowBlank="1" showInputMessage="1" showErrorMessage="1" errorTitle="Error" error="Value must be a number." sqref="C32:E32" xr:uid="{00000000-0002-0000-0000-000000000000}">
      <formula1>0</formula1>
    </dataValidation>
    <dataValidation operator="notEqual" allowBlank="1" showInputMessage="1" showErrorMessage="1" promptTitle="Time" prompt="Please enter time including AM/PM" sqref="H5:I5" xr:uid="{00000000-0002-0000-0000-000001000000}"/>
  </dataValidations>
  <hyperlinks>
    <hyperlink ref="A29" r:id="rId1" display="1.  Student Count" xr:uid="{00000000-0004-0000-0000-000000000000}"/>
    <hyperlink ref="C14" r:id="rId2" xr:uid="{903AD341-F8C0-4703-8487-49BEC6663F64}"/>
  </hyperlinks>
  <printOptions horizontalCentered="1"/>
  <pageMargins left="0.25" right="0.25" top="0.25" bottom="0.25" header="0.5" footer="0.25"/>
  <pageSetup scale="90" fitToHeight="0" orientation="portrait" r:id="rId3"/>
  <headerFooter alignWithMargins="0">
    <oddFooter>&amp;L&amp;"Times New Roman,Bold"&amp;9Rev. 5/24 Arizona Department of Education and Auditor General&amp;R&amp;"Times New Roman,Bold"&amp;9Page &amp;P of &amp;N</oddFooter>
  </headerFooter>
  <rowBreaks count="2" manualBreakCount="2">
    <brk id="19" max="16383" man="1"/>
    <brk id="82"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documentManagement>
    <lcf76f155ced4ddcb4097134ff3c332f xmlns="73d57025-ee5d-49b6-a60b-7d33184acc89">
      <Terms xmlns="http://schemas.microsoft.com/office/infopath/2007/PartnerControls"/>
    </lcf76f155ced4ddcb4097134ff3c332f>
    <TaxCatchAll xmlns="f69ac7c7-1a2e-46bd-a988-685139f8f258" xsi:nil="true"/>
  </documentManagement>
</p:properties>
</file>

<file path=customXml/item2.xml><?xml version="1.0" encoding="utf-8"?>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E11B9217455B40B8FBB9893A94134E" ma:contentTypeVersion="16" ma:contentTypeDescription="Create a new document." ma:contentTypeScope="" ma:versionID="efec0b2cb4da37c5648ef65da2b75b74">
  <xsd:schema xmlns:xsd="http://www.w3.org/2001/XMLSchema" xmlns:xs="http://www.w3.org/2001/XMLSchema" xmlns:p="http://schemas.microsoft.com/office/2006/metadata/properties" xmlns:ns2="73d57025-ee5d-49b6-a60b-7d33184acc89" xmlns:ns3="87488a3f-9ace-46de-933a-7899c85ffeab" xmlns:ns4="f69ac7c7-1a2e-46bd-a988-685139f8f258" targetNamespace="http://schemas.microsoft.com/office/2006/metadata/properties" ma:root="true" ma:fieldsID="428fb43b0d2252a468ec146af736cb36" ns2:_="" ns3:_="" ns4:_="">
    <xsd:import namespace="73d57025-ee5d-49b6-a60b-7d33184acc89"/>
    <xsd:import namespace="87488a3f-9ace-46de-933a-7899c85ffeab"/>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57025-ee5d-49b6-a60b-7d33184ac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488a3f-9ace-46de-933a-7899c85ffe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0084994-d578-4a83-9393-9cd401194372}" ma:internalName="TaxCatchAll" ma:showField="CatchAllData" ma:web="87488a3f-9ace-46de-933a-7899c85ffe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lcf76f155ced4ddcb4097134ff3c332f xmlns="73d57025-ee5d-49b6-a60b-7d33184acc89">
      <Terms xmlns="http://schemas.microsoft.com/office/infopath/2007/PartnerControls"/>
    </lcf76f155ced4ddcb4097134ff3c332f>
    <TaxCatchAll xmlns="f69ac7c7-1a2e-46bd-a988-685139f8f258"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11E11B9217455B40B8FBB9893A94134E" ma:contentTypeVersion="16" ma:contentTypeDescription="Create a new document." ma:contentTypeScope="" ma:versionID="efec0b2cb4da37c5648ef65da2b75b74">
  <xsd:schema xmlns:xsd="http://www.w3.org/2001/XMLSchema" xmlns:xs="http://www.w3.org/2001/XMLSchema" xmlns:p="http://schemas.microsoft.com/office/2006/metadata/properties" xmlns:ns2="73d57025-ee5d-49b6-a60b-7d33184acc89" xmlns:ns3="87488a3f-9ace-46de-933a-7899c85ffeab" xmlns:ns4="f69ac7c7-1a2e-46bd-a988-685139f8f258" targetNamespace="http://schemas.microsoft.com/office/2006/metadata/properties" ma:root="true" ma:fieldsID="428fb43b0d2252a468ec146af736cb36" ns2:_="" ns3:_="" ns4:_="">
    <xsd:import namespace="73d57025-ee5d-49b6-a60b-7d33184acc89"/>
    <xsd:import namespace="87488a3f-9ace-46de-933a-7899c85ffeab"/>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57025-ee5d-49b6-a60b-7d33184ac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488a3f-9ace-46de-933a-7899c85ffe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0084994-d578-4a83-9393-9cd401194372}" ma:internalName="TaxCatchAll" ma:showField="CatchAllData" ma:web="87488a3f-9ace-46de-933a-7899c85ffe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B4F38B-0799-4886-B61C-8DBB46B47F73}">
  <ds:schemaRefs>
    <ds:schemaRef ds:uri="http://schemas.microsoft.com/office/infopath/2007/PartnerControls"/>
    <ds:schemaRef ds:uri="f69ac7c7-1a2e-46bd-a988-685139f8f258"/>
    <ds:schemaRef ds:uri="87488a3f-9ace-46de-933a-7899c85ffeab"/>
    <ds:schemaRef ds:uri="http://purl.org/dc/terms/"/>
    <ds:schemaRef ds:uri="73d57025-ee5d-49b6-a60b-7d33184acc89"/>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847F8EF-8AAF-48C9-9DFE-A66AC49D528B}">
  <ds:schemaRefs>
    <ds:schemaRef ds:uri="http://schemas.microsoft.com/sharepoint/v3/contenttype/forms"/>
  </ds:schemaRefs>
</ds:datastoreItem>
</file>

<file path=customXml/itemProps3.xml><?xml version="1.0" encoding="utf-8"?>
<ds:datastoreItem xmlns:ds="http://schemas.openxmlformats.org/officeDocument/2006/customXml" ds:itemID="{830E9C50-DDD0-459A-93B7-93655FF29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57025-ee5d-49b6-a60b-7d33184acc89"/>
    <ds:schemaRef ds:uri="87488a3f-9ace-46de-933a-7899c85ffeab"/>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B4F38B-0799-4886-B61C-8DBB46B47F73}">
  <ds:schemaRefs>
    <ds:schemaRef ds:uri="http://schemas.microsoft.com/office/infopath/2007/PartnerControls"/>
    <ds:schemaRef ds:uri="http://schemas.openxmlformats.org/package/2006/metadata/core-properties"/>
    <ds:schemaRef ds:uri="73d57025-ee5d-49b6-a60b-7d33184acc89"/>
    <ds:schemaRef ds:uri="http://purl.org/dc/dcmitype/"/>
    <ds:schemaRef ds:uri="87488a3f-9ace-46de-933a-7899c85ffeab"/>
    <ds:schemaRef ds:uri="http://purl.org/dc/elements/1.1/"/>
    <ds:schemaRef ds:uri="http://purl.org/dc/terms/"/>
    <ds:schemaRef ds:uri="http://www.w3.org/XML/1998/namespace"/>
    <ds:schemaRef ds:uri="http://schemas.microsoft.com/office/2006/documentManagement/types"/>
    <ds:schemaRef ds:uri="f69ac7c7-1a2e-46bd-a988-685139f8f258"/>
    <ds:schemaRef ds:uri="http://schemas.microsoft.com/office/2006/metadata/properties"/>
  </ds:schemaRefs>
</ds:datastoreItem>
</file>

<file path=customXml/itemProps5.xml><?xml version="1.0" encoding="utf-8"?>
<ds:datastoreItem xmlns:ds="http://schemas.openxmlformats.org/officeDocument/2006/customXml" ds:itemID="{830E9C50-DDD0-459A-93B7-93655FF29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57025-ee5d-49b6-a60b-7d33184acc89"/>
    <ds:schemaRef ds:uri="87488a3f-9ace-46de-933a-7899c85ffeab"/>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3847F8EF-8AAF-48C9-9DFE-A66AC49D52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Notice</vt:lpstr>
      <vt:lpstr>BudgetYearADM</vt:lpstr>
      <vt:lpstr>Notice!Print_Area</vt:lpstr>
      <vt:lpstr>PriorYearADM</vt:lpstr>
      <vt:lpstr>SPEDStaff</vt:lpstr>
      <vt:lpstr>SPEDTeacher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Meeting Notification</dc:title>
  <dc:subject/>
  <dc:creator>AZ Department of Education</dc:creator>
  <cp:keywords/>
  <dc:description/>
  <cp:lastModifiedBy>Ginger Stevens</cp:lastModifiedBy>
  <cp:lastPrinted>2024-05-16T20:21:52Z</cp:lastPrinted>
  <dcterms:created xsi:type="dcterms:W3CDTF">2006-05-14T13:29:21Z</dcterms:created>
  <dcterms:modified xsi:type="dcterms:W3CDTF">2024-06-12T16:16:36Z</dcterms:modified>
  <cp:category/>
  <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scalYear">
    <vt:lpwstr>2025</vt:lpwstr>
  </property>
  <property fmtid="{D5CDD505-2E9C-101B-9397-08002B2CF9AE}" pid="3" name="BudgetTypeID">
    <vt:lpwstr>35</vt:lpwstr>
  </property>
  <property fmtid="{D5CDD505-2E9C-101B-9397-08002B2CF9AE}" pid="4" name="SchoolbySchool">
    <vt:lpwstr>0</vt:lpwstr>
  </property>
  <property fmtid="{D5CDD505-2E9C-101B-9397-08002B2CF9AE}" pid="5" name="Password">
    <vt:lpwstr>Diamondbacks15</vt:lpwstr>
  </property>
  <property fmtid="{D5CDD505-2E9C-101B-9397-08002B2CF9AE}" pid="6" name="ADEGUID">
    <vt:lpwstr>1E8E6549-8EE6-49BE-8704-F2AFCEC310A2</vt:lpwstr>
  </property>
  <property fmtid="{D5CDD505-2E9C-101B-9397-08002B2CF9AE}" pid="7" name="ContentTypeId">
    <vt:lpwstr>0x010100740A7E3807644E4DA70E0D6B717B683A</vt:lpwstr>
  </property>
  <property fmtid="{D5CDD505-2E9C-101B-9397-08002B2CF9AE}" pid="8" name="MediaServiceImageTags">
    <vt:lpwstr/>
  </property>
</Properties>
</file>